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évin BASLER\Desktop\OUTILS EXCEL (MACRO) du 05082023\"/>
    </mc:Choice>
  </mc:AlternateContent>
  <xr:revisionPtr revIDLastSave="0" documentId="13_ncr:1_{BF7877A5-EE37-4BE7-AEE8-113875C8BB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OM_CLIENT_NOUV_METH" sheetId="5" r:id="rId1"/>
    <sheet name="NOM CLIENT_ANC_METH" sheetId="6" r:id="rId2"/>
  </sheets>
  <definedNames>
    <definedName name="bilan">#REF!</definedName>
    <definedName name="menu_déroulant_Bilan">#REF!</definedName>
  </definedNames>
  <calcPr calcId="181029" iterate="1" iterateDelta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6" l="1"/>
  <c r="D73" i="6"/>
  <c r="D71" i="6"/>
  <c r="D70" i="6"/>
  <c r="D69" i="6"/>
  <c r="D68" i="6"/>
  <c r="D62" i="6"/>
  <c r="D61" i="6"/>
  <c r="D59" i="6"/>
  <c r="D58" i="6"/>
  <c r="D57" i="6"/>
  <c r="D56" i="6"/>
  <c r="D55" i="6"/>
  <c r="D54" i="6"/>
  <c r="D53" i="6"/>
  <c r="D52" i="6"/>
  <c r="D51" i="6"/>
  <c r="D14" i="6"/>
  <c r="I36" i="6" s="1"/>
  <c r="K14" i="6"/>
  <c r="J14" i="6"/>
  <c r="D7" i="6"/>
  <c r="D4" i="6"/>
  <c r="M2" i="6"/>
  <c r="J2" i="6"/>
  <c r="G2" i="6"/>
  <c r="E2" i="6"/>
  <c r="C2" i="6"/>
  <c r="C73" i="6"/>
  <c r="B73" i="6"/>
  <c r="E72" i="6"/>
  <c r="C72" i="6"/>
  <c r="E71" i="6"/>
  <c r="C71" i="6"/>
  <c r="B71" i="6"/>
  <c r="E70" i="6"/>
  <c r="C70" i="6"/>
  <c r="B70" i="6"/>
  <c r="E69" i="6"/>
  <c r="C69" i="6"/>
  <c r="B69" i="6"/>
  <c r="E68" i="6"/>
  <c r="C68" i="6"/>
  <c r="B68" i="6"/>
  <c r="K42" i="6"/>
  <c r="K44" i="6" s="1"/>
  <c r="I41" i="6"/>
  <c r="I40" i="6"/>
  <c r="I38" i="6"/>
  <c r="J38" i="6" s="1"/>
  <c r="H38" i="6"/>
  <c r="H41" i="6" s="1"/>
  <c r="I37" i="6"/>
  <c r="K35" i="6"/>
  <c r="I33" i="6"/>
  <c r="I32" i="6"/>
  <c r="I31" i="6"/>
  <c r="I30" i="6"/>
  <c r="I29" i="6"/>
  <c r="I27" i="6"/>
  <c r="I26" i="6"/>
  <c r="I25" i="6"/>
  <c r="I24" i="6"/>
  <c r="I23" i="6"/>
  <c r="I22" i="6"/>
  <c r="I21" i="6"/>
  <c r="I17" i="6"/>
  <c r="K38" i="5"/>
  <c r="E77" i="5"/>
  <c r="C77" i="5"/>
  <c r="B77" i="5"/>
  <c r="E76" i="5"/>
  <c r="C76" i="5"/>
  <c r="B76" i="5"/>
  <c r="E75" i="5"/>
  <c r="C75" i="5"/>
  <c r="B75" i="5"/>
  <c r="E74" i="5"/>
  <c r="C74" i="5"/>
  <c r="B74" i="5"/>
  <c r="E73" i="5"/>
  <c r="C73" i="5"/>
  <c r="B73" i="5"/>
  <c r="E72" i="5"/>
  <c r="C72" i="5"/>
  <c r="B72" i="5"/>
  <c r="E71" i="5"/>
  <c r="C71" i="5"/>
  <c r="B71" i="5"/>
  <c r="D63" i="5"/>
  <c r="D60" i="6" s="1"/>
  <c r="B39" i="5"/>
  <c r="E60" i="5"/>
  <c r="C60" i="5"/>
  <c r="B60" i="5"/>
  <c r="E59" i="5"/>
  <c r="C59" i="5"/>
  <c r="B59" i="5"/>
  <c r="E58" i="5"/>
  <c r="C58" i="5"/>
  <c r="B58" i="5"/>
  <c r="E57" i="5"/>
  <c r="C57" i="5"/>
  <c r="B57" i="5"/>
  <c r="E56" i="5"/>
  <c r="C56" i="5"/>
  <c r="B56" i="5"/>
  <c r="E55" i="5"/>
  <c r="C55" i="5"/>
  <c r="B55" i="5"/>
  <c r="K19" i="5"/>
  <c r="C31" i="5"/>
  <c r="C32" i="5"/>
  <c r="E65" i="5"/>
  <c r="C65" i="5"/>
  <c r="B65" i="5"/>
  <c r="E64" i="5"/>
  <c r="C64" i="5"/>
  <c r="B64" i="5"/>
  <c r="E63" i="5"/>
  <c r="C63" i="5"/>
  <c r="B63" i="5"/>
  <c r="E62" i="5"/>
  <c r="C62" i="5"/>
  <c r="B62" i="5"/>
  <c r="E61" i="5"/>
  <c r="C61" i="5"/>
  <c r="B61" i="5"/>
  <c r="E54" i="5"/>
  <c r="C54" i="5"/>
  <c r="B54" i="5"/>
  <c r="K45" i="5"/>
  <c r="K47" i="5" s="1"/>
  <c r="I44" i="5"/>
  <c r="I41" i="5"/>
  <c r="H41" i="5"/>
  <c r="H44" i="5" s="1"/>
  <c r="I43" i="5"/>
  <c r="I40" i="5"/>
  <c r="I39" i="5"/>
  <c r="H39" i="5"/>
  <c r="C37" i="5"/>
  <c r="I36" i="5"/>
  <c r="C36" i="5"/>
  <c r="I35" i="5"/>
  <c r="C35" i="5"/>
  <c r="I34" i="5"/>
  <c r="C34" i="5"/>
  <c r="I33" i="5"/>
  <c r="C33" i="5"/>
  <c r="I32" i="5"/>
  <c r="I30" i="5"/>
  <c r="C30" i="5"/>
  <c r="I29" i="5"/>
  <c r="C29" i="5"/>
  <c r="I28" i="5"/>
  <c r="C28" i="5"/>
  <c r="I27" i="5"/>
  <c r="C27" i="5"/>
  <c r="I26" i="5"/>
  <c r="C26" i="5"/>
  <c r="I25" i="5"/>
  <c r="C25" i="5"/>
  <c r="I24" i="5"/>
  <c r="C24" i="5"/>
  <c r="C23" i="5"/>
  <c r="C22" i="5"/>
  <c r="C21" i="5"/>
  <c r="I20" i="5"/>
  <c r="C20" i="5"/>
  <c r="D5" i="5"/>
  <c r="C33" i="6" l="1"/>
  <c r="H36" i="6"/>
  <c r="J36" i="6" s="1"/>
  <c r="L9" i="5" s="1"/>
  <c r="C34" i="6"/>
  <c r="C31" i="6"/>
  <c r="C29" i="6"/>
  <c r="C27" i="6"/>
  <c r="C26" i="6"/>
  <c r="C24" i="6"/>
  <c r="C22" i="6"/>
  <c r="C20" i="6"/>
  <c r="C18" i="6"/>
  <c r="C17" i="6"/>
  <c r="B36" i="6"/>
  <c r="C32" i="6"/>
  <c r="C30" i="6"/>
  <c r="C28" i="6"/>
  <c r="C25" i="6"/>
  <c r="C23" i="6"/>
  <c r="C21" i="6"/>
  <c r="C19" i="6"/>
  <c r="B62" i="6"/>
  <c r="B58" i="6"/>
  <c r="B57" i="6"/>
  <c r="B56" i="6"/>
  <c r="B55" i="6"/>
  <c r="B54" i="6"/>
  <c r="B53" i="6"/>
  <c r="B52" i="6"/>
  <c r="B51" i="6"/>
  <c r="E62" i="6"/>
  <c r="C62" i="6"/>
  <c r="E58" i="6"/>
  <c r="C58" i="6"/>
  <c r="E57" i="6"/>
  <c r="C57" i="6"/>
  <c r="E56" i="6"/>
  <c r="C56" i="6"/>
  <c r="E55" i="6"/>
  <c r="C55" i="6"/>
  <c r="E54" i="6"/>
  <c r="C54" i="6"/>
  <c r="E53" i="6"/>
  <c r="C53" i="6"/>
  <c r="E52" i="6"/>
  <c r="K45" i="6"/>
  <c r="B61" i="6"/>
  <c r="B60" i="6"/>
  <c r="B59" i="6"/>
  <c r="D5" i="6"/>
  <c r="B72" i="6"/>
  <c r="B74" i="6"/>
  <c r="E61" i="6"/>
  <c r="C61" i="6"/>
  <c r="E60" i="6"/>
  <c r="C60" i="6"/>
  <c r="E59" i="6"/>
  <c r="C59" i="6"/>
  <c r="C52" i="6"/>
  <c r="E51" i="6"/>
  <c r="C51" i="6"/>
  <c r="K16" i="6"/>
  <c r="E74" i="6"/>
  <c r="C74" i="6"/>
  <c r="E73" i="6"/>
  <c r="J41" i="6"/>
  <c r="D6" i="5"/>
  <c r="K48" i="5"/>
  <c r="J39" i="5"/>
  <c r="J41" i="5"/>
  <c r="J44" i="5"/>
  <c r="G61" i="5" l="1"/>
  <c r="H61" i="5"/>
  <c r="K9" i="5"/>
  <c r="M9" i="5" s="1"/>
  <c r="H58" i="6"/>
  <c r="H70" i="6" s="1"/>
  <c r="D6" i="6"/>
  <c r="G58" i="6"/>
  <c r="G70" i="6" s="1"/>
  <c r="G73" i="5" l="1"/>
  <c r="H73" i="5"/>
  <c r="D8" i="6"/>
  <c r="D8" i="5"/>
  <c r="D9" i="6" l="1"/>
  <c r="D10" i="6"/>
  <c r="D11" i="6"/>
  <c r="K11" i="6"/>
  <c r="H17" i="6"/>
  <c r="J17" i="6"/>
  <c r="H18" i="6"/>
  <c r="I18" i="6"/>
  <c r="J18" i="6"/>
  <c r="H19" i="6"/>
  <c r="I19" i="6"/>
  <c r="J19" i="6"/>
  <c r="H20" i="6"/>
  <c r="I20" i="6"/>
  <c r="J20" i="6"/>
  <c r="H21" i="6"/>
  <c r="J21" i="6"/>
  <c r="H22" i="6"/>
  <c r="J22" i="6"/>
  <c r="H23" i="6"/>
  <c r="J23" i="6"/>
  <c r="H24" i="6"/>
  <c r="J24" i="6"/>
  <c r="H25" i="6"/>
  <c r="J25" i="6"/>
  <c r="H26" i="6"/>
  <c r="J26" i="6"/>
  <c r="H27" i="6"/>
  <c r="J27" i="6"/>
  <c r="H28" i="6"/>
  <c r="I28" i="6"/>
  <c r="J28" i="6"/>
  <c r="H29" i="6"/>
  <c r="J29" i="6"/>
  <c r="H30" i="6"/>
  <c r="J30" i="6"/>
  <c r="H31" i="6"/>
  <c r="J31" i="6"/>
  <c r="H32" i="6"/>
  <c r="J32" i="6"/>
  <c r="H33" i="6"/>
  <c r="J33" i="6"/>
  <c r="H34" i="6"/>
  <c r="J34" i="6"/>
  <c r="J35" i="6"/>
  <c r="H37" i="6"/>
  <c r="J37" i="6"/>
  <c r="J39" i="6"/>
  <c r="H40" i="6"/>
  <c r="J40" i="6"/>
  <c r="J42" i="6"/>
  <c r="J43" i="6"/>
  <c r="J44" i="6"/>
  <c r="J45" i="6"/>
  <c r="K46" i="6"/>
  <c r="G51" i="6"/>
  <c r="H51" i="6"/>
  <c r="G52" i="6"/>
  <c r="H52" i="6"/>
  <c r="G53" i="6"/>
  <c r="H53" i="6"/>
  <c r="G54" i="6"/>
  <c r="H54" i="6"/>
  <c r="G55" i="6"/>
  <c r="H55" i="6"/>
  <c r="G56" i="6"/>
  <c r="H56" i="6"/>
  <c r="G57" i="6"/>
  <c r="H57" i="6"/>
  <c r="G59" i="6"/>
  <c r="H59" i="6"/>
  <c r="G60" i="6"/>
  <c r="H60" i="6"/>
  <c r="K60" i="6"/>
  <c r="H61" i="6"/>
  <c r="G62" i="6"/>
  <c r="G63" i="6"/>
  <c r="H63" i="6"/>
  <c r="J63" i="6"/>
  <c r="G68" i="6"/>
  <c r="H68" i="6"/>
  <c r="G69" i="6"/>
  <c r="H69" i="6"/>
  <c r="G71" i="6"/>
  <c r="H71" i="6"/>
  <c r="D72" i="6"/>
  <c r="G72" i="6"/>
  <c r="H72" i="6"/>
  <c r="K72" i="6"/>
  <c r="H73" i="6"/>
  <c r="G74" i="6"/>
  <c r="G75" i="6"/>
  <c r="H75" i="6"/>
  <c r="J75" i="6"/>
  <c r="K7" i="5"/>
  <c r="L7" i="5"/>
  <c r="M7" i="5"/>
  <c r="K8" i="5"/>
  <c r="L8" i="5"/>
  <c r="M8" i="5"/>
  <c r="D9" i="5"/>
  <c r="D10" i="5"/>
  <c r="K10" i="5"/>
  <c r="L10" i="5"/>
  <c r="M10" i="5"/>
  <c r="D11" i="5"/>
  <c r="D12" i="5"/>
  <c r="D13" i="5"/>
  <c r="K13" i="5"/>
  <c r="D16" i="5"/>
  <c r="H20" i="5"/>
  <c r="J20" i="5"/>
  <c r="H21" i="5"/>
  <c r="I21" i="5"/>
  <c r="J21" i="5"/>
  <c r="H22" i="5"/>
  <c r="I22" i="5"/>
  <c r="J22" i="5"/>
  <c r="H23" i="5"/>
  <c r="I23" i="5"/>
  <c r="J23" i="5"/>
  <c r="H24" i="5"/>
  <c r="J24" i="5"/>
  <c r="H25" i="5"/>
  <c r="J25" i="5"/>
  <c r="H26" i="5"/>
  <c r="J26" i="5"/>
  <c r="H27" i="5"/>
  <c r="J27" i="5"/>
  <c r="H28" i="5"/>
  <c r="J28" i="5"/>
  <c r="H29" i="5"/>
  <c r="J29" i="5"/>
  <c r="H30" i="5"/>
  <c r="J30" i="5"/>
  <c r="H31" i="5"/>
  <c r="I31" i="5"/>
  <c r="J31" i="5"/>
  <c r="H32" i="5"/>
  <c r="J32" i="5"/>
  <c r="H33" i="5"/>
  <c r="J33" i="5"/>
  <c r="H34" i="5"/>
  <c r="J34" i="5"/>
  <c r="H35" i="5"/>
  <c r="J35" i="5"/>
  <c r="H36" i="5"/>
  <c r="J36" i="5"/>
  <c r="H37" i="5"/>
  <c r="J37" i="5"/>
  <c r="J38" i="5"/>
  <c r="H40" i="5"/>
  <c r="J40" i="5"/>
  <c r="J42" i="5"/>
  <c r="H43" i="5"/>
  <c r="J43" i="5"/>
  <c r="J45" i="5"/>
  <c r="J46" i="5"/>
  <c r="J47" i="5"/>
  <c r="J48" i="5"/>
  <c r="K49" i="5"/>
  <c r="G54" i="5"/>
  <c r="H54" i="5"/>
  <c r="G55" i="5"/>
  <c r="H55" i="5"/>
  <c r="G56" i="5"/>
  <c r="H56" i="5"/>
  <c r="G57" i="5"/>
  <c r="H57" i="5"/>
  <c r="G58" i="5"/>
  <c r="H58" i="5"/>
  <c r="G59" i="5"/>
  <c r="H59" i="5"/>
  <c r="G60" i="5"/>
  <c r="H60" i="5"/>
  <c r="G62" i="5"/>
  <c r="H62" i="5"/>
  <c r="G63" i="5"/>
  <c r="H63" i="5"/>
  <c r="K63" i="5"/>
  <c r="H64" i="5"/>
  <c r="G65" i="5"/>
  <c r="G66" i="5"/>
  <c r="H66" i="5"/>
  <c r="J66" i="5"/>
  <c r="G71" i="5"/>
  <c r="H71" i="5"/>
  <c r="G72" i="5"/>
  <c r="H72" i="5"/>
  <c r="G74" i="5"/>
  <c r="H74" i="5"/>
  <c r="D75" i="5"/>
  <c r="G75" i="5"/>
  <c r="H75" i="5"/>
  <c r="K75" i="5"/>
  <c r="H76" i="5"/>
  <c r="G77" i="5"/>
  <c r="G78" i="5"/>
  <c r="H78" i="5"/>
  <c r="J7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Kévin BASLER</author>
  </authors>
  <commentList>
    <comment ref="K19" authorId="0" shapeId="0" xr:uid="{56A0DB85-860A-467A-8E12-3441049D3BA0}">
      <text>
        <r>
          <rPr>
            <b/>
            <sz val="9"/>
            <color indexed="81"/>
            <rFont val="Tahoma"/>
            <family val="2"/>
          </rPr>
          <t>Kévin BASLER:</t>
        </r>
        <r>
          <rPr>
            <sz val="9"/>
            <color indexed="81"/>
            <rFont val="Tahoma"/>
            <family val="2"/>
          </rPr>
          <t xml:space="preserve">
A compléter selon document URSSAF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Kévin BASLER</author>
  </authors>
  <commentList>
    <comment ref="K16" authorId="0" shapeId="0" xr:uid="{AFABCE24-4D5E-400E-B282-43EBF2301EB2}">
      <text>
        <r>
          <rPr>
            <b/>
            <sz val="9"/>
            <color indexed="81"/>
            <rFont val="Tahoma"/>
            <family val="2"/>
          </rPr>
          <t>Kévin BASLER:</t>
        </r>
        <r>
          <rPr>
            <sz val="9"/>
            <color indexed="81"/>
            <rFont val="Tahoma"/>
            <family val="2"/>
          </rPr>
          <t xml:space="preserve">
A compléter selon document URSSAF</t>
        </r>
      </text>
    </comment>
  </commentList>
</comments>
</file>

<file path=xl/sharedStrings.xml><?xml version="1.0" encoding="utf-8"?>
<sst xmlns="http://schemas.openxmlformats.org/spreadsheetml/2006/main" count="204" uniqueCount="88">
  <si>
    <t>Revenu total soumis à cotisations :</t>
  </si>
  <si>
    <t>Cotisations sociales obligatoires (hors CSG et CFP) :</t>
  </si>
  <si>
    <t>Type d'activité :</t>
  </si>
  <si>
    <t>Cotisation :</t>
  </si>
  <si>
    <t>Base de calcul :</t>
  </si>
  <si>
    <t>Taux à appliquer :</t>
  </si>
  <si>
    <t>Base retenue :</t>
  </si>
  <si>
    <t>Taux :</t>
  </si>
  <si>
    <t>Montant :</t>
  </si>
  <si>
    <t>Maladie 1</t>
  </si>
  <si>
    <t>Maladie 2</t>
  </si>
  <si>
    <t>Allocations familiales</t>
  </si>
  <si>
    <t>0% à 3,10%</t>
  </si>
  <si>
    <t>Retraite de base</t>
  </si>
  <si>
    <t>Retraite complémentaire</t>
  </si>
  <si>
    <t>Invalidité-Décès</t>
  </si>
  <si>
    <t>Total des cotisations sociales personnelles obligatoires :</t>
  </si>
  <si>
    <t>0,25% à 0,34%</t>
  </si>
  <si>
    <t>Total :</t>
  </si>
  <si>
    <t>Impact résultat :</t>
  </si>
  <si>
    <t>Date :</t>
  </si>
  <si>
    <t>N° Pièce :</t>
  </si>
  <si>
    <t>N° Compte :</t>
  </si>
  <si>
    <t>Libellé :</t>
  </si>
  <si>
    <t>Ext.</t>
  </si>
  <si>
    <t>Débit :</t>
  </si>
  <si>
    <t>Crédit :</t>
  </si>
  <si>
    <t>CSG déductible</t>
  </si>
  <si>
    <t>Totaux :</t>
  </si>
  <si>
    <t>Société :</t>
  </si>
  <si>
    <t>Gérant :</t>
  </si>
  <si>
    <t>Date clôture :</t>
  </si>
  <si>
    <t>Cf. assiette et taux de cotisation sur https://secu-independants.fr/cotisations/calcul-cotisations/taux-cotisations</t>
  </si>
  <si>
    <t>Taux de cotisation :</t>
  </si>
  <si>
    <t>Forme juridique :</t>
  </si>
  <si>
    <t>Rémunération de la période :</t>
  </si>
  <si>
    <t>Période (en mois) :</t>
  </si>
  <si>
    <t>Maladie complémentaire</t>
  </si>
  <si>
    <t>Total CSG</t>
  </si>
  <si>
    <t>Revenu total avant abattements :</t>
  </si>
  <si>
    <t>Abattement 26% :</t>
  </si>
  <si>
    <t>0% à 1,5%</t>
  </si>
  <si>
    <t>1,5% à 4%</t>
  </si>
  <si>
    <t>4% à 6,50%</t>
  </si>
  <si>
    <t>SARL</t>
  </si>
  <si>
    <t>3/ Artisan</t>
  </si>
  <si>
    <t>Revenu brut social :</t>
  </si>
  <si>
    <t>Intéressement versé sur N :</t>
  </si>
  <si>
    <t>Abondement versé sur N :</t>
  </si>
  <si>
    <t>(à déclarer sur le volet social en case DSDE/DSDF)</t>
  </si>
  <si>
    <r>
      <rPr>
        <sz val="20"/>
        <color theme="1"/>
        <rFont val="Arial"/>
        <family val="2"/>
      </rPr>
      <t>}</t>
    </r>
    <r>
      <rPr>
        <sz val="10"/>
        <color theme="1"/>
        <rFont val="Arial"/>
        <family val="2"/>
      </rPr>
      <t xml:space="preserve"> (à déclarer sur le volet social en case DSEM/DSEN)</t>
    </r>
  </si>
  <si>
    <t>Total CSG déductible :</t>
  </si>
  <si>
    <t>Total CSG (hors intéressement &amp; abondement)</t>
  </si>
  <si>
    <t>NOM SOCIETE</t>
  </si>
  <si>
    <t>NOM CLIENT</t>
  </si>
  <si>
    <t>PASS 2026</t>
  </si>
  <si>
    <t>CSG déductible et non déduc</t>
  </si>
  <si>
    <t>itération 1</t>
  </si>
  <si>
    <t>itération 2</t>
  </si>
  <si>
    <t>Imposition :</t>
  </si>
  <si>
    <r>
      <t>Total CSG non déductible :</t>
    </r>
    <r>
      <rPr>
        <b/>
        <sz val="10"/>
        <color rgb="FFFF0000"/>
        <rFont val="Arial"/>
        <family val="2"/>
      </rPr>
      <t xml:space="preserve"> (à réintégrer fiscalement ou à mettre en rémunération)</t>
    </r>
  </si>
  <si>
    <t>Choix :</t>
  </si>
  <si>
    <t>Rémunération</t>
  </si>
  <si>
    <r>
      <t>itération 3 (</t>
    </r>
    <r>
      <rPr>
        <b/>
        <sz val="10"/>
        <color rgb="FFFF3300"/>
        <rFont val="Arial"/>
        <family val="2"/>
      </rPr>
      <t>uniquement pour les sociétés à l'IR</t>
    </r>
    <r>
      <rPr>
        <sz val="10"/>
        <color theme="1"/>
        <rFont val="Arial"/>
        <family val="2"/>
      </rPr>
      <t>)</t>
    </r>
  </si>
  <si>
    <t>Provision complémentaire à passer (version détaillée) :</t>
  </si>
  <si>
    <t>Invalidité-décès</t>
  </si>
  <si>
    <t>Contribution à la formation professionnelle</t>
  </si>
  <si>
    <t>CSG non déductible</t>
  </si>
  <si>
    <t>CSG/CRDS déductible (6,8/9,7%) (hors intéressement &amp; abondement)</t>
  </si>
  <si>
    <t>CSG/CRDS déductible (6,8/9,7%) sur intéressement &amp; abondement</t>
  </si>
  <si>
    <t>CSG/CRDS non déductible (2,9/9,7%) (hors intéressement &amp; abondement)</t>
  </si>
  <si>
    <t>CSG/CRDS non déductible (2,9/9,7%) sur intéressement &amp; abondement</t>
  </si>
  <si>
    <t>Charges à payer (URSSAF)</t>
  </si>
  <si>
    <t>Produits à recevoir (URSSAF)</t>
  </si>
  <si>
    <t>IS</t>
  </si>
  <si>
    <t>Vérif. :</t>
  </si>
  <si>
    <t>Maladie, allocations fam. et invalidité-décès</t>
  </si>
  <si>
    <t>Provision complémentaire à passer (version simplifiée) :</t>
  </si>
  <si>
    <t>(les cotisations se calculent par année civile)</t>
  </si>
  <si>
    <t>Rémunération annuelle estimée :</t>
  </si>
  <si>
    <t>Cotisations facultatives annuelles (dont MADELIN) :</t>
  </si>
  <si>
    <t>Ancienne réforme :</t>
  </si>
  <si>
    <t>Nouvelle réforme</t>
  </si>
  <si>
    <t>Cotis. Oblig.</t>
  </si>
  <si>
    <t>CSG/CRDS :</t>
  </si>
  <si>
    <t>Comparatif suite à la nouvelle reforme :</t>
  </si>
  <si>
    <t>Form. Prof.</t>
  </si>
  <si>
    <t>Ecart constaté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</si>
</sst>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&quot;€&quot;_-;\-* #,##0.00\ &quot;€&quot;_-;_-* &quot;-&quot;??\ &quot;€&quot;_-;_-@"/>
    <numFmt numFmtId="165" formatCode="_-* #,##0\ &quot;€&quot;_-;\-* #,##0\ &quot;€&quot;_-;_-* &quot;-&quot;??\ &quot;€&quot;_-;_-@"/>
    <numFmt numFmtId="166" formatCode="0_ ;\-0\ "/>
    <numFmt numFmtId="167" formatCode="#,##0_ ;\-#,##0\ "/>
  </numFmts>
  <fonts count="20" x14ac:knownFonts="1">
    <font>
      <sz val="10"/>
      <color rgb="FF000000"/>
      <name val="Calibri"/>
      <scheme val="minor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name val="Calibri"/>
      <family val="2"/>
    </font>
    <font>
      <b/>
      <sz val="10"/>
      <color theme="0"/>
      <name val="Arial"/>
      <family val="2"/>
    </font>
    <font>
      <u/>
      <sz val="10"/>
      <color theme="1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sz val="20"/>
      <color theme="1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3300"/>
      <name val="Arial"/>
      <family val="2"/>
    </font>
    <font>
      <sz val="10"/>
      <color rgb="FFFFFFFF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B6DDE8"/>
        <bgColor rgb="FFB6DDE8"/>
      </patternFill>
    </fill>
    <fill>
      <patternFill patternType="solid">
        <fgColor rgb="FF0070C0"/>
        <bgColor rgb="FF0070C0"/>
      </patternFill>
    </fill>
    <fill>
      <patternFill patternType="solid">
        <fgColor rgb="FFFF0000"/>
        <bgColor rgb="FFFF0000"/>
      </patternFill>
    </fill>
    <fill>
      <patternFill patternType="solid">
        <fgColor rgb="FF7030A0"/>
        <bgColor rgb="FF7030A0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E5B8B7"/>
        <bgColor rgb="FFE5B8B7"/>
      </patternFill>
    </fill>
    <fill>
      <patternFill patternType="solid">
        <fgColor rgb="FF548DD4"/>
        <bgColor rgb="FF548DD4"/>
      </patternFill>
    </fill>
    <fill>
      <patternFill patternType="solid">
        <fgColor rgb="FFBFBFBF"/>
        <bgColor rgb="FFBFBFBF"/>
      </patternFill>
    </fill>
    <fill>
      <patternFill patternType="solid">
        <fgColor theme="7" tint="0.59999389629810485"/>
        <bgColor rgb="FFB6DDE8"/>
      </patternFill>
    </fill>
    <fill>
      <patternFill patternType="solid">
        <fgColor theme="7" tint="0.79998168889431442"/>
        <bgColor rgb="FFB6DDE8"/>
      </patternFill>
    </fill>
    <fill>
      <patternFill patternType="solid">
        <fgColor rgb="FF0070C0"/>
        <bgColor rgb="FFB6DDE8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B6DDE8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/>
        <bgColor rgb="FFE5B8B7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E3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C3939"/>
        <bgColor indexed="64"/>
      </patternFill>
    </fill>
    <fill>
      <patternFill patternType="solid">
        <fgColor theme="6"/>
        <bgColor rgb="FFB6DDE8"/>
      </patternFill>
    </fill>
    <fill>
      <patternFill patternType="solid">
        <fgColor theme="5" tint="0.59999389629810485"/>
        <bgColor rgb="FFB6DDE8"/>
      </patternFill>
    </fill>
    <fill>
      <patternFill patternType="solid">
        <fgColor rgb="FFFFC6C6"/>
        <bgColor rgb="FFB6DDE8"/>
      </patternFill>
    </fill>
  </fills>
  <borders count="5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21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164" fontId="2" fillId="2" borderId="0" xfId="0" applyNumberFormat="1" applyFont="1" applyFill="1"/>
    <xf numFmtId="0" fontId="5" fillId="3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164" fontId="2" fillId="2" borderId="4" xfId="0" applyNumberFormat="1" applyFont="1" applyFill="1" applyBorder="1"/>
    <xf numFmtId="164" fontId="5" fillId="3" borderId="4" xfId="0" applyNumberFormat="1" applyFont="1" applyFill="1" applyBorder="1"/>
    <xf numFmtId="0" fontId="9" fillId="2" borderId="0" xfId="0" applyFont="1" applyFill="1"/>
    <xf numFmtId="0" fontId="8" fillId="0" borderId="0" xfId="0" applyFont="1"/>
    <xf numFmtId="44" fontId="2" fillId="2" borderId="0" xfId="0" applyNumberFormat="1" applyFont="1" applyFill="1"/>
    <xf numFmtId="0" fontId="12" fillId="2" borderId="0" xfId="0" applyFont="1" applyFill="1"/>
    <xf numFmtId="0" fontId="13" fillId="2" borderId="0" xfId="0" applyFont="1" applyFill="1"/>
    <xf numFmtId="44" fontId="13" fillId="2" borderId="0" xfId="0" applyNumberFormat="1" applyFont="1" applyFill="1"/>
    <xf numFmtId="9" fontId="2" fillId="2" borderId="0" xfId="1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8" fontId="2" fillId="2" borderId="0" xfId="0" applyNumberFormat="1" applyFont="1" applyFill="1"/>
    <xf numFmtId="44" fontId="2" fillId="2" borderId="0" xfId="0" applyNumberFormat="1" applyFont="1" applyFill="1" applyAlignment="1">
      <alignment horizontal="center"/>
    </xf>
    <xf numFmtId="10" fontId="2" fillId="2" borderId="0" xfId="1" applyNumberFormat="1" applyFont="1" applyFill="1" applyAlignment="1">
      <alignment horizontal="center"/>
    </xf>
    <xf numFmtId="44" fontId="12" fillId="2" borderId="0" xfId="0" applyNumberFormat="1" applyFont="1" applyFill="1"/>
    <xf numFmtId="164" fontId="9" fillId="21" borderId="6" xfId="0" applyNumberFormat="1" applyFont="1" applyFill="1" applyBorder="1" applyAlignment="1">
      <alignment horizontal="center" vertical="center"/>
    </xf>
    <xf numFmtId="164" fontId="5" fillId="3" borderId="28" xfId="0" applyNumberFormat="1" applyFont="1" applyFill="1" applyBorder="1" applyAlignment="1">
      <alignment horizontal="center" vertical="center" wrapText="1"/>
    </xf>
    <xf numFmtId="164" fontId="5" fillId="3" borderId="29" xfId="0" applyNumberFormat="1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left"/>
    </xf>
    <xf numFmtId="0" fontId="6" fillId="11" borderId="28" xfId="0" applyFont="1" applyFill="1" applyBorder="1" applyAlignment="1">
      <alignment horizontal="center" vertical="center"/>
    </xf>
    <xf numFmtId="0" fontId="11" fillId="12" borderId="29" xfId="0" applyFont="1" applyFill="1" applyBorder="1" applyAlignment="1">
      <alignment horizontal="center" vertical="center"/>
    </xf>
    <xf numFmtId="0" fontId="6" fillId="11" borderId="29" xfId="0" applyFont="1" applyFill="1" applyBorder="1" applyAlignment="1">
      <alignment horizontal="center" vertical="center"/>
    </xf>
    <xf numFmtId="14" fontId="11" fillId="12" borderId="30" xfId="0" applyNumberFormat="1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 wrapText="1"/>
    </xf>
    <xf numFmtId="164" fontId="2" fillId="0" borderId="27" xfId="0" applyNumberFormat="1" applyFont="1" applyBorder="1" applyAlignment="1">
      <alignment horizontal="center" vertical="center"/>
    </xf>
    <xf numFmtId="164" fontId="11" fillId="7" borderId="38" xfId="0" applyNumberFormat="1" applyFont="1" applyFill="1" applyBorder="1" applyAlignment="1">
      <alignment horizontal="center" vertical="center"/>
    </xf>
    <xf numFmtId="164" fontId="11" fillId="17" borderId="11" xfId="0" applyNumberFormat="1" applyFont="1" applyFill="1" applyBorder="1" applyAlignment="1">
      <alignment horizontal="center" vertical="center"/>
    </xf>
    <xf numFmtId="164" fontId="11" fillId="8" borderId="19" xfId="0" applyNumberFormat="1" applyFont="1" applyFill="1" applyBorder="1" applyAlignment="1">
      <alignment horizontal="center" vertical="center"/>
    </xf>
    <xf numFmtId="164" fontId="11" fillId="19" borderId="11" xfId="0" applyNumberFormat="1" applyFont="1" applyFill="1" applyBorder="1" applyAlignment="1">
      <alignment horizontal="center" vertical="center"/>
    </xf>
    <xf numFmtId="164" fontId="11" fillId="8" borderId="41" xfId="0" applyNumberFormat="1" applyFont="1" applyFill="1" applyBorder="1" applyAlignment="1">
      <alignment horizontal="center" vertical="center"/>
    </xf>
    <xf numFmtId="9" fontId="9" fillId="17" borderId="13" xfId="0" applyNumberFormat="1" applyFont="1" applyFill="1" applyBorder="1" applyAlignment="1">
      <alignment horizontal="center" vertical="center"/>
    </xf>
    <xf numFmtId="164" fontId="9" fillId="17" borderId="13" xfId="0" applyNumberFormat="1" applyFont="1" applyFill="1" applyBorder="1" applyAlignment="1">
      <alignment horizontal="center" vertical="center"/>
    </xf>
    <xf numFmtId="10" fontId="9" fillId="17" borderId="13" xfId="0" applyNumberFormat="1" applyFont="1" applyFill="1" applyBorder="1" applyAlignment="1">
      <alignment horizontal="center" vertical="center"/>
    </xf>
    <xf numFmtId="9" fontId="2" fillId="17" borderId="6" xfId="0" applyNumberFormat="1" applyFont="1" applyFill="1" applyBorder="1" applyAlignment="1">
      <alignment horizontal="center" vertical="center"/>
    </xf>
    <xf numFmtId="164" fontId="9" fillId="17" borderId="6" xfId="0" applyNumberFormat="1" applyFont="1" applyFill="1" applyBorder="1" applyAlignment="1">
      <alignment horizontal="center" vertical="center"/>
    </xf>
    <xf numFmtId="10" fontId="9" fillId="17" borderId="6" xfId="0" applyNumberFormat="1" applyFont="1" applyFill="1" applyBorder="1" applyAlignment="1">
      <alignment horizontal="center" vertical="center"/>
    </xf>
    <xf numFmtId="164" fontId="2" fillId="17" borderId="6" xfId="0" applyNumberFormat="1" applyFont="1" applyFill="1" applyBorder="1" applyAlignment="1">
      <alignment horizontal="center" vertical="center"/>
    </xf>
    <xf numFmtId="10" fontId="2" fillId="17" borderId="6" xfId="0" applyNumberFormat="1" applyFont="1" applyFill="1" applyBorder="1" applyAlignment="1">
      <alignment horizontal="center" vertical="center"/>
    </xf>
    <xf numFmtId="10" fontId="9" fillId="17" borderId="18" xfId="0" applyNumberFormat="1" applyFont="1" applyFill="1" applyBorder="1" applyAlignment="1">
      <alignment horizontal="center" vertical="center"/>
    </xf>
    <xf numFmtId="164" fontId="9" fillId="17" borderId="18" xfId="0" applyNumberFormat="1" applyFont="1" applyFill="1" applyBorder="1" applyAlignment="1">
      <alignment horizontal="center" vertical="center"/>
    </xf>
    <xf numFmtId="0" fontId="9" fillId="17" borderId="20" xfId="0" applyFont="1" applyFill="1" applyBorder="1" applyAlignment="1">
      <alignment horizontal="center" vertical="center"/>
    </xf>
    <xf numFmtId="10" fontId="9" fillId="17" borderId="21" xfId="0" applyNumberFormat="1" applyFont="1" applyFill="1" applyBorder="1" applyAlignment="1">
      <alignment horizontal="center" vertical="center"/>
    </xf>
    <xf numFmtId="164" fontId="9" fillId="17" borderId="22" xfId="0" applyNumberFormat="1" applyFont="1" applyFill="1" applyBorder="1" applyAlignment="1">
      <alignment horizontal="center" vertical="center"/>
    </xf>
    <xf numFmtId="10" fontId="9" fillId="17" borderId="22" xfId="0" applyNumberFormat="1" applyFont="1" applyFill="1" applyBorder="1" applyAlignment="1">
      <alignment horizontal="center" vertical="center"/>
    </xf>
    <xf numFmtId="10" fontId="9" fillId="17" borderId="10" xfId="0" applyNumberFormat="1" applyFont="1" applyFill="1" applyBorder="1" applyAlignment="1">
      <alignment horizontal="center" vertical="center"/>
    </xf>
    <xf numFmtId="164" fontId="9" fillId="17" borderId="4" xfId="0" applyNumberFormat="1" applyFont="1" applyFill="1" applyBorder="1" applyAlignment="1">
      <alignment horizontal="center" vertical="center"/>
    </xf>
    <xf numFmtId="10" fontId="9" fillId="17" borderId="4" xfId="0" applyNumberFormat="1" applyFont="1" applyFill="1" applyBorder="1" applyAlignment="1">
      <alignment horizontal="center" vertical="center"/>
    </xf>
    <xf numFmtId="164" fontId="9" fillId="17" borderId="5" xfId="0" applyNumberFormat="1" applyFont="1" applyFill="1" applyBorder="1" applyAlignment="1">
      <alignment horizontal="center" vertical="center"/>
    </xf>
    <xf numFmtId="10" fontId="9" fillId="17" borderId="5" xfId="0" applyNumberFormat="1" applyFont="1" applyFill="1" applyBorder="1" applyAlignment="1">
      <alignment horizontal="center" vertical="center"/>
    </xf>
    <xf numFmtId="10" fontId="9" fillId="17" borderId="35" xfId="0" applyNumberFormat="1" applyFont="1" applyFill="1" applyBorder="1" applyAlignment="1">
      <alignment horizontal="center" vertical="center"/>
    </xf>
    <xf numFmtId="164" fontId="9" fillId="17" borderId="33" xfId="0" applyNumberFormat="1" applyFont="1" applyFill="1" applyBorder="1" applyAlignment="1">
      <alignment horizontal="center" vertical="center"/>
    </xf>
    <xf numFmtId="10" fontId="9" fillId="17" borderId="33" xfId="0" applyNumberFormat="1" applyFont="1" applyFill="1" applyBorder="1" applyAlignment="1">
      <alignment horizontal="center" vertical="center"/>
    </xf>
    <xf numFmtId="0" fontId="2" fillId="17" borderId="20" xfId="0" applyFont="1" applyFill="1" applyBorder="1" applyAlignment="1">
      <alignment vertical="center"/>
    </xf>
    <xf numFmtId="10" fontId="9" fillId="17" borderId="38" xfId="0" applyNumberFormat="1" applyFont="1" applyFill="1" applyBorder="1" applyAlignment="1">
      <alignment horizontal="center" vertical="center"/>
    </xf>
    <xf numFmtId="164" fontId="9" fillId="17" borderId="38" xfId="0" applyNumberFormat="1" applyFont="1" applyFill="1" applyBorder="1" applyAlignment="1">
      <alignment horizontal="center" vertical="center"/>
    </xf>
    <xf numFmtId="9" fontId="9" fillId="17" borderId="6" xfId="0" applyNumberFormat="1" applyFont="1" applyFill="1" applyBorder="1" applyAlignment="1">
      <alignment horizontal="center" vertical="center"/>
    </xf>
    <xf numFmtId="10" fontId="9" fillId="17" borderId="11" xfId="0" applyNumberFormat="1" applyFont="1" applyFill="1" applyBorder="1" applyAlignment="1">
      <alignment horizontal="center" vertical="center"/>
    </xf>
    <xf numFmtId="164" fontId="9" fillId="17" borderId="11" xfId="0" applyNumberFormat="1" applyFont="1" applyFill="1" applyBorder="1" applyAlignment="1">
      <alignment horizontal="center" vertical="center"/>
    </xf>
    <xf numFmtId="0" fontId="9" fillId="17" borderId="38" xfId="0" applyFont="1" applyFill="1" applyBorder="1" applyAlignment="1">
      <alignment horizontal="center" vertical="center"/>
    </xf>
    <xf numFmtId="164" fontId="11" fillId="16" borderId="13" xfId="0" applyNumberFormat="1" applyFont="1" applyFill="1" applyBorder="1" applyAlignment="1">
      <alignment horizontal="center" vertical="center"/>
    </xf>
    <xf numFmtId="164" fontId="11" fillId="8" borderId="14" xfId="0" applyNumberFormat="1" applyFont="1" applyFill="1" applyBorder="1" applyAlignment="1">
      <alignment horizontal="center" vertical="center"/>
    </xf>
    <xf numFmtId="164" fontId="11" fillId="16" borderId="6" xfId="0" applyNumberFormat="1" applyFont="1" applyFill="1" applyBorder="1" applyAlignment="1">
      <alignment horizontal="center" vertical="center"/>
    </xf>
    <xf numFmtId="164" fontId="11" fillId="8" borderId="16" xfId="0" applyNumberFormat="1" applyFont="1" applyFill="1" applyBorder="1" applyAlignment="1">
      <alignment horizontal="center" vertical="center"/>
    </xf>
    <xf numFmtId="164" fontId="11" fillId="16" borderId="18" xfId="0" applyNumberFormat="1" applyFont="1" applyFill="1" applyBorder="1" applyAlignment="1">
      <alignment horizontal="center" vertical="center"/>
    </xf>
    <xf numFmtId="164" fontId="11" fillId="16" borderId="22" xfId="0" applyNumberFormat="1" applyFont="1" applyFill="1" applyBorder="1" applyAlignment="1">
      <alignment horizontal="center" vertical="center"/>
    </xf>
    <xf numFmtId="164" fontId="11" fillId="8" borderId="23" xfId="0" applyNumberFormat="1" applyFont="1" applyFill="1" applyBorder="1" applyAlignment="1">
      <alignment horizontal="center" vertical="center"/>
    </xf>
    <xf numFmtId="164" fontId="11" fillId="16" borderId="4" xfId="0" applyNumberFormat="1" applyFont="1" applyFill="1" applyBorder="1" applyAlignment="1">
      <alignment horizontal="center" vertical="center"/>
    </xf>
    <xf numFmtId="164" fontId="11" fillId="8" borderId="25" xfId="0" applyNumberFormat="1" applyFont="1" applyFill="1" applyBorder="1" applyAlignment="1">
      <alignment horizontal="center" vertical="center"/>
    </xf>
    <xf numFmtId="164" fontId="11" fillId="16" borderId="5" xfId="0" applyNumberFormat="1" applyFont="1" applyFill="1" applyBorder="1" applyAlignment="1">
      <alignment horizontal="center" vertical="center"/>
    </xf>
    <xf numFmtId="164" fontId="11" fillId="16" borderId="33" xfId="0" applyNumberFormat="1" applyFont="1" applyFill="1" applyBorder="1" applyAlignment="1">
      <alignment horizontal="center" vertical="center"/>
    </xf>
    <xf numFmtId="164" fontId="11" fillId="8" borderId="37" xfId="0" applyNumberFormat="1" applyFont="1" applyFill="1" applyBorder="1" applyAlignment="1">
      <alignment horizontal="center" vertical="center"/>
    </xf>
    <xf numFmtId="164" fontId="11" fillId="16" borderId="38" xfId="0" applyNumberFormat="1" applyFont="1" applyFill="1" applyBorder="1" applyAlignment="1">
      <alignment horizontal="center" vertical="center"/>
    </xf>
    <xf numFmtId="164" fontId="11" fillId="8" borderId="39" xfId="0" applyNumberFormat="1" applyFont="1" applyFill="1" applyBorder="1" applyAlignment="1">
      <alignment horizontal="center" vertical="center"/>
    </xf>
    <xf numFmtId="164" fontId="11" fillId="16" borderId="11" xfId="0" applyNumberFormat="1" applyFont="1" applyFill="1" applyBorder="1" applyAlignment="1">
      <alignment horizontal="center" vertical="center"/>
    </xf>
    <xf numFmtId="164" fontId="11" fillId="10" borderId="39" xfId="0" applyNumberFormat="1" applyFont="1" applyFill="1" applyBorder="1" applyAlignment="1">
      <alignment horizontal="center" vertical="center"/>
    </xf>
    <xf numFmtId="164" fontId="11" fillId="0" borderId="38" xfId="0" applyNumberFormat="1" applyFont="1" applyBorder="1" applyAlignment="1">
      <alignment horizontal="center" vertical="center"/>
    </xf>
    <xf numFmtId="164" fontId="11" fillId="0" borderId="13" xfId="0" applyNumberFormat="1" applyFont="1" applyBorder="1" applyAlignment="1">
      <alignment horizontal="center" vertical="center"/>
    </xf>
    <xf numFmtId="164" fontId="11" fillId="18" borderId="14" xfId="0" applyNumberFormat="1" applyFont="1" applyFill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164" fontId="11" fillId="18" borderId="16" xfId="0" applyNumberFormat="1" applyFont="1" applyFill="1" applyBorder="1" applyAlignment="1">
      <alignment horizontal="center" vertical="center"/>
    </xf>
    <xf numFmtId="164" fontId="11" fillId="14" borderId="13" xfId="0" applyNumberFormat="1" applyFont="1" applyFill="1" applyBorder="1" applyAlignment="1">
      <alignment horizontal="center" vertical="center"/>
    </xf>
    <xf numFmtId="164" fontId="9" fillId="21" borderId="11" xfId="0" applyNumberFormat="1" applyFont="1" applyFill="1" applyBorder="1" applyAlignment="1">
      <alignment horizontal="center" vertical="center"/>
    </xf>
    <xf numFmtId="164" fontId="11" fillId="17" borderId="32" xfId="0" applyNumberFormat="1" applyFont="1" applyFill="1" applyBorder="1" applyAlignment="1">
      <alignment horizontal="center" vertical="center"/>
    </xf>
    <xf numFmtId="164" fontId="5" fillId="3" borderId="38" xfId="0" applyNumberFormat="1" applyFont="1" applyFill="1" applyBorder="1" applyAlignment="1">
      <alignment horizontal="center" vertical="center"/>
    </xf>
    <xf numFmtId="165" fontId="3" fillId="5" borderId="30" xfId="0" applyNumberFormat="1" applyFont="1" applyFill="1" applyBorder="1"/>
    <xf numFmtId="166" fontId="2" fillId="2" borderId="4" xfId="0" applyNumberFormat="1" applyFont="1" applyFill="1" applyBorder="1" applyAlignment="1">
      <alignment horizontal="center"/>
    </xf>
    <xf numFmtId="14" fontId="2" fillId="2" borderId="4" xfId="0" applyNumberFormat="1" applyFont="1" applyFill="1" applyBorder="1" applyAlignment="1">
      <alignment horizontal="center"/>
    </xf>
    <xf numFmtId="164" fontId="2" fillId="23" borderId="4" xfId="0" applyNumberFormat="1" applyFont="1" applyFill="1" applyBorder="1"/>
    <xf numFmtId="0" fontId="15" fillId="2" borderId="0" xfId="0" applyFont="1" applyFill="1"/>
    <xf numFmtId="14" fontId="2" fillId="12" borderId="4" xfId="0" applyNumberFormat="1" applyFont="1" applyFill="1" applyBorder="1" applyAlignment="1">
      <alignment horizontal="center"/>
    </xf>
    <xf numFmtId="164" fontId="2" fillId="12" borderId="4" xfId="0" applyNumberFormat="1" applyFont="1" applyFill="1" applyBorder="1"/>
    <xf numFmtId="166" fontId="2" fillId="12" borderId="4" xfId="0" applyNumberFormat="1" applyFont="1" applyFill="1" applyBorder="1" applyAlignment="1">
      <alignment horizontal="center"/>
    </xf>
    <xf numFmtId="14" fontId="2" fillId="24" borderId="4" xfId="0" applyNumberFormat="1" applyFont="1" applyFill="1" applyBorder="1" applyAlignment="1">
      <alignment horizontal="center"/>
    </xf>
    <xf numFmtId="164" fontId="2" fillId="24" borderId="4" xfId="0" applyNumberFormat="1" applyFont="1" applyFill="1" applyBorder="1"/>
    <xf numFmtId="166" fontId="2" fillId="24" borderId="4" xfId="0" applyNumberFormat="1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164" fontId="2" fillId="0" borderId="6" xfId="0" applyNumberFormat="1" applyFont="1" applyBorder="1"/>
    <xf numFmtId="44" fontId="2" fillId="0" borderId="6" xfId="0" applyNumberFormat="1" applyFont="1" applyBorder="1"/>
    <xf numFmtId="164" fontId="11" fillId="0" borderId="6" xfId="0" applyNumberFormat="1" applyFont="1" applyBorder="1"/>
    <xf numFmtId="44" fontId="11" fillId="0" borderId="6" xfId="0" applyNumberFormat="1" applyFont="1" applyBorder="1"/>
    <xf numFmtId="0" fontId="2" fillId="25" borderId="0" xfId="0" applyFont="1" applyFill="1"/>
    <xf numFmtId="0" fontId="2" fillId="25" borderId="0" xfId="0" applyFont="1" applyFill="1" applyAlignment="1">
      <alignment horizontal="center"/>
    </xf>
    <xf numFmtId="9" fontId="2" fillId="25" borderId="0" xfId="1" applyFont="1" applyFill="1" applyAlignment="1">
      <alignment horizontal="center" vertical="center"/>
    </xf>
    <xf numFmtId="0" fontId="13" fillId="25" borderId="0" xfId="0" applyFont="1" applyFill="1"/>
    <xf numFmtId="44" fontId="13" fillId="25" borderId="0" xfId="0" applyNumberFormat="1" applyFont="1" applyFill="1"/>
    <xf numFmtId="164" fontId="2" fillId="25" borderId="0" xfId="0" applyNumberFormat="1" applyFont="1" applyFill="1"/>
    <xf numFmtId="44" fontId="2" fillId="25" borderId="0" xfId="0" applyNumberFormat="1" applyFont="1" applyFill="1"/>
    <xf numFmtId="0" fontId="1" fillId="25" borderId="0" xfId="0" applyFont="1" applyFill="1"/>
    <xf numFmtId="0" fontId="15" fillId="25" borderId="0" xfId="0" applyFont="1" applyFill="1"/>
    <xf numFmtId="44" fontId="2" fillId="25" borderId="0" xfId="0" applyNumberFormat="1" applyFont="1" applyFill="1" applyAlignment="1">
      <alignment horizontal="center"/>
    </xf>
    <xf numFmtId="10" fontId="2" fillId="25" borderId="0" xfId="1" applyNumberFormat="1" applyFont="1" applyFill="1" applyAlignment="1">
      <alignment horizontal="center"/>
    </xf>
    <xf numFmtId="44" fontId="12" fillId="25" borderId="0" xfId="0" applyNumberFormat="1" applyFont="1" applyFill="1"/>
    <xf numFmtId="0" fontId="12" fillId="25" borderId="0" xfId="0" applyFont="1" applyFill="1"/>
    <xf numFmtId="8" fontId="2" fillId="25" borderId="0" xfId="0" applyNumberFormat="1" applyFont="1" applyFill="1"/>
    <xf numFmtId="0" fontId="9" fillId="25" borderId="0" xfId="0" applyFont="1" applyFill="1"/>
    <xf numFmtId="0" fontId="2" fillId="17" borderId="12" xfId="0" applyFont="1" applyFill="1" applyBorder="1" applyAlignment="1">
      <alignment horizontal="left"/>
    </xf>
    <xf numFmtId="0" fontId="2" fillId="17" borderId="13" xfId="0" applyFont="1" applyFill="1" applyBorder="1" applyAlignment="1">
      <alignment horizontal="left"/>
    </xf>
    <xf numFmtId="0" fontId="11" fillId="19" borderId="40" xfId="0" applyFont="1" applyFill="1" applyBorder="1" applyAlignment="1">
      <alignment horizontal="left"/>
    </xf>
    <xf numFmtId="0" fontId="11" fillId="19" borderId="11" xfId="0" applyFont="1" applyFill="1" applyBorder="1" applyAlignment="1">
      <alignment horizontal="left"/>
    </xf>
    <xf numFmtId="0" fontId="5" fillId="3" borderId="28" xfId="0" applyFont="1" applyFill="1" applyBorder="1" applyAlignment="1">
      <alignment horizontal="left"/>
    </xf>
    <xf numFmtId="0" fontId="5" fillId="3" borderId="29" xfId="0" applyFont="1" applyFill="1" applyBorder="1" applyAlignment="1">
      <alignment horizontal="left"/>
    </xf>
    <xf numFmtId="0" fontId="2" fillId="17" borderId="15" xfId="0" applyFont="1" applyFill="1" applyBorder="1" applyAlignment="1">
      <alignment horizontal="left"/>
    </xf>
    <xf numFmtId="0" fontId="2" fillId="17" borderId="6" xfId="0" applyFont="1" applyFill="1" applyBorder="1" applyAlignment="1">
      <alignment horizontal="left"/>
    </xf>
    <xf numFmtId="0" fontId="11" fillId="17" borderId="40" xfId="0" applyFont="1" applyFill="1" applyBorder="1" applyAlignment="1">
      <alignment horizontal="left"/>
    </xf>
    <xf numFmtId="0" fontId="11" fillId="17" borderId="11" xfId="0" applyFont="1" applyFill="1" applyBorder="1" applyAlignment="1">
      <alignment horizontal="left"/>
    </xf>
    <xf numFmtId="0" fontId="11" fillId="19" borderId="12" xfId="0" applyFont="1" applyFill="1" applyBorder="1" applyAlignment="1">
      <alignment horizontal="left"/>
    </xf>
    <xf numFmtId="0" fontId="11" fillId="19" borderId="13" xfId="0" applyFont="1" applyFill="1" applyBorder="1" applyAlignment="1">
      <alignment horizontal="left"/>
    </xf>
    <xf numFmtId="0" fontId="11" fillId="17" borderId="31" xfId="0" applyFont="1" applyFill="1" applyBorder="1" applyAlignment="1">
      <alignment horizontal="left"/>
    </xf>
    <xf numFmtId="0" fontId="7" fillId="22" borderId="29" xfId="0" applyFont="1" applyFill="1" applyBorder="1" applyAlignment="1">
      <alignment horizontal="center"/>
    </xf>
    <xf numFmtId="0" fontId="7" fillId="22" borderId="30" xfId="0" applyFont="1" applyFill="1" applyBorder="1" applyAlignment="1">
      <alignment horizontal="center"/>
    </xf>
    <xf numFmtId="0" fontId="9" fillId="17" borderId="20" xfId="0" applyFont="1" applyFill="1" applyBorder="1" applyAlignment="1">
      <alignment horizontal="left"/>
    </xf>
    <xf numFmtId="0" fontId="9" fillId="17" borderId="38" xfId="0" applyFont="1" applyFill="1" applyBorder="1" applyAlignment="1">
      <alignment horizontal="left"/>
    </xf>
    <xf numFmtId="0" fontId="9" fillId="17" borderId="38" xfId="0" applyFont="1" applyFill="1" applyBorder="1" applyAlignment="1">
      <alignment horizontal="left" vertical="center" wrapText="1"/>
    </xf>
    <xf numFmtId="0" fontId="9" fillId="17" borderId="12" xfId="0" applyFont="1" applyFill="1" applyBorder="1" applyAlignment="1">
      <alignment horizontal="center" vertical="center" wrapText="1"/>
    </xf>
    <xf numFmtId="0" fontId="9" fillId="17" borderId="15" xfId="0" applyFont="1" applyFill="1" applyBorder="1" applyAlignment="1">
      <alignment horizontal="center" vertical="center" wrapText="1"/>
    </xf>
    <xf numFmtId="0" fontId="9" fillId="17" borderId="40" xfId="0" applyFont="1" applyFill="1" applyBorder="1" applyAlignment="1">
      <alignment horizontal="center" vertical="center" wrapText="1"/>
    </xf>
    <xf numFmtId="0" fontId="9" fillId="17" borderId="13" xfId="0" applyFont="1" applyFill="1" applyBorder="1" applyAlignment="1">
      <alignment horizontal="left" vertical="center" wrapText="1"/>
    </xf>
    <xf numFmtId="0" fontId="9" fillId="17" borderId="6" xfId="0" applyFont="1" applyFill="1" applyBorder="1" applyAlignment="1">
      <alignment horizontal="left" vertical="center" wrapText="1"/>
    </xf>
    <xf numFmtId="0" fontId="9" fillId="17" borderId="11" xfId="0" applyFont="1" applyFill="1" applyBorder="1" applyAlignment="1">
      <alignment horizontal="left" vertical="center" wrapText="1"/>
    </xf>
    <xf numFmtId="0" fontId="9" fillId="17" borderId="12" xfId="0" applyFont="1" applyFill="1" applyBorder="1" applyAlignment="1">
      <alignment horizontal="center" vertical="center"/>
    </xf>
    <xf numFmtId="0" fontId="9" fillId="17" borderId="40" xfId="0" applyFont="1" applyFill="1" applyBorder="1" applyAlignment="1">
      <alignment horizontal="center" vertical="center"/>
    </xf>
    <xf numFmtId="0" fontId="11" fillId="9" borderId="20" xfId="0" applyFont="1" applyFill="1" applyBorder="1" applyAlignment="1">
      <alignment horizontal="left"/>
    </xf>
    <xf numFmtId="0" fontId="11" fillId="9" borderId="38" xfId="0" applyFont="1" applyFill="1" applyBorder="1" applyAlignment="1">
      <alignment horizontal="left"/>
    </xf>
    <xf numFmtId="0" fontId="5" fillId="3" borderId="51" xfId="0" applyFont="1" applyFill="1" applyBorder="1" applyAlignment="1">
      <alignment horizontal="left"/>
    </xf>
    <xf numFmtId="0" fontId="4" fillId="0" borderId="52" xfId="0" applyFont="1" applyBorder="1"/>
    <xf numFmtId="164" fontId="2" fillId="0" borderId="53" xfId="0" applyNumberFormat="1" applyFont="1" applyBorder="1" applyAlignment="1">
      <alignment horizontal="center"/>
    </xf>
    <xf numFmtId="0" fontId="4" fillId="0" borderId="34" xfId="0" applyFont="1" applyBorder="1"/>
    <xf numFmtId="164" fontId="5" fillId="3" borderId="29" xfId="0" applyNumberFormat="1" applyFont="1" applyFill="1" applyBorder="1" applyAlignment="1">
      <alignment horizontal="center" vertical="center" wrapText="1"/>
    </xf>
    <xf numFmtId="0" fontId="9" fillId="17" borderId="18" xfId="0" applyFont="1" applyFill="1" applyBorder="1" applyAlignment="1">
      <alignment horizontal="left" vertical="center" wrapText="1"/>
    </xf>
    <xf numFmtId="0" fontId="9" fillId="17" borderId="20" xfId="0" applyFont="1" applyFill="1" applyBorder="1" applyAlignment="1">
      <alignment horizontal="center" vertical="center"/>
    </xf>
    <xf numFmtId="0" fontId="9" fillId="17" borderId="24" xfId="0" applyFont="1" applyFill="1" applyBorder="1" applyAlignment="1">
      <alignment horizontal="center" vertical="center"/>
    </xf>
    <xf numFmtId="0" fontId="9" fillId="17" borderId="9" xfId="0" applyFont="1" applyFill="1" applyBorder="1" applyAlignment="1">
      <alignment horizontal="left" vertical="center" wrapText="1"/>
    </xf>
    <xf numFmtId="0" fontId="9" fillId="17" borderId="36" xfId="0" applyFont="1" applyFill="1" applyBorder="1" applyAlignment="1">
      <alignment horizontal="left" vertical="center" wrapText="1"/>
    </xf>
    <xf numFmtId="0" fontId="9" fillId="17" borderId="15" xfId="0" applyFont="1" applyFill="1" applyBorder="1" applyAlignment="1">
      <alignment horizontal="center" vertical="center"/>
    </xf>
    <xf numFmtId="0" fontId="9" fillId="17" borderId="17" xfId="0" applyFont="1" applyFill="1" applyBorder="1" applyAlignment="1">
      <alignment horizontal="center" vertical="center"/>
    </xf>
    <xf numFmtId="0" fontId="2" fillId="17" borderId="6" xfId="0" applyFont="1" applyFill="1" applyBorder="1" applyAlignment="1">
      <alignment horizontal="left" vertical="center" wrapText="1"/>
    </xf>
    <xf numFmtId="0" fontId="3" fillId="13" borderId="42" xfId="0" applyFont="1" applyFill="1" applyBorder="1" applyAlignment="1">
      <alignment horizontal="left"/>
    </xf>
    <xf numFmtId="0" fontId="3" fillId="13" borderId="43" xfId="0" applyFont="1" applyFill="1" applyBorder="1" applyAlignment="1">
      <alignment horizontal="left"/>
    </xf>
    <xf numFmtId="44" fontId="2" fillId="15" borderId="44" xfId="0" applyNumberFormat="1" applyFont="1" applyFill="1" applyBorder="1" applyAlignment="1">
      <alignment horizontal="right"/>
    </xf>
    <xf numFmtId="44" fontId="2" fillId="15" borderId="45" xfId="0" applyNumberFormat="1" applyFont="1" applyFill="1" applyBorder="1" applyAlignment="1">
      <alignment horizontal="right"/>
    </xf>
    <xf numFmtId="0" fontId="7" fillId="3" borderId="2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left"/>
    </xf>
    <xf numFmtId="0" fontId="4" fillId="0" borderId="2" xfId="0" applyFont="1" applyBorder="1"/>
    <xf numFmtId="44" fontId="2" fillId="6" borderId="1" xfId="0" applyNumberFormat="1" applyFont="1" applyFill="1" applyBorder="1" applyAlignment="1">
      <alignment horizontal="center"/>
    </xf>
    <xf numFmtId="44" fontId="4" fillId="0" borderId="50" xfId="0" applyNumberFormat="1" applyFont="1" applyBorder="1"/>
    <xf numFmtId="44" fontId="2" fillId="0" borderId="1" xfId="0" applyNumberFormat="1" applyFont="1" applyBorder="1" applyAlignment="1">
      <alignment horizontal="center"/>
    </xf>
    <xf numFmtId="0" fontId="5" fillId="3" borderId="48" xfId="0" applyFont="1" applyFill="1" applyBorder="1" applyAlignment="1">
      <alignment horizontal="left"/>
    </xf>
    <xf numFmtId="44" fontId="2" fillId="4" borderId="1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44" fontId="3" fillId="5" borderId="1" xfId="0" applyNumberFormat="1" applyFont="1" applyFill="1" applyBorder="1" applyAlignment="1">
      <alignment horizontal="center"/>
    </xf>
    <xf numFmtId="44" fontId="3" fillId="5" borderId="50" xfId="0" applyNumberFormat="1" applyFont="1" applyFill="1" applyBorder="1" applyAlignment="1">
      <alignment horizontal="center"/>
    </xf>
    <xf numFmtId="0" fontId="2" fillId="2" borderId="56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9" fontId="2" fillId="0" borderId="39" xfId="1" applyFont="1" applyBorder="1" applyAlignment="1">
      <alignment horizontal="center" vertical="center"/>
    </xf>
    <xf numFmtId="9" fontId="2" fillId="0" borderId="57" xfId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0" fontId="5" fillId="3" borderId="3" xfId="0" applyFont="1" applyFill="1" applyBorder="1" applyAlignment="1">
      <alignment horizontal="right"/>
    </xf>
    <xf numFmtId="0" fontId="11" fillId="12" borderId="54" xfId="0" applyFont="1" applyFill="1" applyBorder="1" applyAlignment="1">
      <alignment horizontal="center" vertical="center"/>
    </xf>
    <xf numFmtId="0" fontId="11" fillId="12" borderId="55" xfId="0" applyFont="1" applyFill="1" applyBorder="1" applyAlignment="1">
      <alignment horizontal="center" vertical="center"/>
    </xf>
    <xf numFmtId="0" fontId="3" fillId="13" borderId="46" xfId="0" applyFont="1" applyFill="1" applyBorder="1" applyAlignment="1">
      <alignment horizontal="left"/>
    </xf>
    <xf numFmtId="0" fontId="3" fillId="13" borderId="8" xfId="0" applyFont="1" applyFill="1" applyBorder="1" applyAlignment="1">
      <alignment horizontal="left"/>
    </xf>
    <xf numFmtId="167" fontId="2" fillId="2" borderId="7" xfId="0" applyNumberFormat="1" applyFont="1" applyFill="1" applyBorder="1" applyAlignment="1">
      <alignment horizontal="right"/>
    </xf>
    <xf numFmtId="167" fontId="2" fillId="2" borderId="47" xfId="0" applyNumberFormat="1" applyFont="1" applyFill="1" applyBorder="1" applyAlignment="1">
      <alignment horizontal="right"/>
    </xf>
    <xf numFmtId="44" fontId="2" fillId="20" borderId="1" xfId="0" applyNumberFormat="1" applyFont="1" applyFill="1" applyBorder="1" applyAlignment="1">
      <alignment horizontal="center"/>
    </xf>
    <xf numFmtId="44" fontId="4" fillId="20" borderId="50" xfId="0" applyNumberFormat="1" applyFont="1" applyFill="1" applyBorder="1"/>
    <xf numFmtId="44" fontId="2" fillId="2" borderId="7" xfId="0" applyNumberFormat="1" applyFont="1" applyFill="1" applyBorder="1" applyAlignment="1">
      <alignment horizontal="right"/>
    </xf>
    <xf numFmtId="44" fontId="2" fillId="2" borderId="47" xfId="0" applyNumberFormat="1" applyFont="1" applyFill="1" applyBorder="1" applyAlignment="1">
      <alignment horizontal="right"/>
    </xf>
    <xf numFmtId="44" fontId="2" fillId="7" borderId="1" xfId="0" applyNumberFormat="1" applyFont="1" applyFill="1" applyBorder="1" applyAlignment="1">
      <alignment horizontal="center"/>
    </xf>
    <xf numFmtId="0" fontId="2" fillId="25" borderId="56" xfId="0" applyFont="1" applyFill="1" applyBorder="1" applyAlignment="1">
      <alignment horizontal="left" vertical="center"/>
    </xf>
    <xf numFmtId="0" fontId="2" fillId="25" borderId="0" xfId="0" applyFont="1" applyFill="1" applyAlignment="1">
      <alignment horizontal="left" vertical="center"/>
    </xf>
    <xf numFmtId="0" fontId="11" fillId="12" borderId="29" xfId="0" applyFont="1" applyFill="1" applyBorder="1" applyAlignment="1" applyProtection="1">
      <alignment horizontal="center" vertical="center"/>
      <protection locked="0"/>
    </xf>
    <xf numFmtId="0" fontId="11" fillId="12" borderId="54" xfId="0" applyFont="1" applyFill="1" applyBorder="1" applyAlignment="1" applyProtection="1">
      <alignment horizontal="center" vertical="center"/>
      <protection locked="0"/>
    </xf>
    <xf numFmtId="0" fontId="11" fillId="12" borderId="55" xfId="0" applyFont="1" applyFill="1" applyBorder="1" applyAlignment="1" applyProtection="1">
      <alignment horizontal="center" vertical="center"/>
      <protection locked="0"/>
    </xf>
    <xf numFmtId="14" fontId="11" fillId="12" borderId="30" xfId="0" applyNumberFormat="1" applyFont="1" applyFill="1" applyBorder="1" applyAlignment="1" applyProtection="1">
      <alignment horizontal="center" vertical="center"/>
      <protection locked="0"/>
    </xf>
    <xf numFmtId="44" fontId="2" fillId="15" borderId="44" xfId="0" applyNumberFormat="1" applyFont="1" applyFill="1" applyBorder="1" applyAlignment="1" applyProtection="1">
      <alignment horizontal="right"/>
      <protection locked="0"/>
    </xf>
    <xf numFmtId="44" fontId="2" fillId="15" borderId="45" xfId="0" applyNumberFormat="1" applyFont="1" applyFill="1" applyBorder="1" applyAlignment="1" applyProtection="1">
      <alignment horizontal="right"/>
      <protection locked="0"/>
    </xf>
    <xf numFmtId="44" fontId="2" fillId="4" borderId="1" xfId="0" applyNumberFormat="1" applyFont="1" applyFill="1" applyBorder="1" applyAlignment="1" applyProtection="1">
      <alignment horizontal="center"/>
      <protection locked="0"/>
    </xf>
    <xf numFmtId="44" fontId="4" fillId="0" borderId="50" xfId="0" applyNumberFormat="1" applyFont="1" applyBorder="1" applyProtection="1">
      <protection locked="0"/>
    </xf>
    <xf numFmtId="164" fontId="2" fillId="0" borderId="53" xfId="0" applyNumberFormat="1" applyFont="1" applyBorder="1" applyAlignment="1" applyProtection="1">
      <alignment horizontal="center"/>
      <protection locked="0"/>
    </xf>
    <xf numFmtId="0" fontId="4" fillId="0" borderId="34" xfId="0" applyFont="1" applyBorder="1" applyProtection="1">
      <protection locked="0"/>
    </xf>
    <xf numFmtId="0" fontId="7" fillId="3" borderId="28" xfId="0" applyFont="1" applyFill="1" applyBorder="1" applyAlignment="1" applyProtection="1">
      <alignment horizontal="center" vertical="center" wrapText="1"/>
      <protection locked="0"/>
    </xf>
    <xf numFmtId="164" fontId="2" fillId="0" borderId="27" xfId="0" applyNumberFormat="1" applyFont="1" applyBorder="1" applyAlignment="1" applyProtection="1">
      <alignment horizontal="center" vertical="center"/>
      <protection locked="0"/>
    </xf>
    <xf numFmtId="0" fontId="7" fillId="22" borderId="29" xfId="0" applyFont="1" applyFill="1" applyBorder="1" applyAlignment="1" applyProtection="1">
      <alignment horizontal="center"/>
      <protection locked="0"/>
    </xf>
    <xf numFmtId="0" fontId="7" fillId="22" borderId="30" xfId="0" applyFont="1" applyFill="1" applyBorder="1" applyAlignment="1" applyProtection="1">
      <alignment horizontal="center"/>
      <protection locked="0"/>
    </xf>
    <xf numFmtId="166" fontId="2" fillId="12" borderId="4" xfId="0" applyNumberFormat="1" applyFont="1" applyFill="1" applyBorder="1" applyAlignment="1" applyProtection="1">
      <alignment horizontal="center"/>
      <protection locked="0"/>
    </xf>
    <xf numFmtId="166" fontId="2" fillId="24" borderId="4" xfId="0" applyNumberFormat="1" applyFont="1" applyFill="1" applyBorder="1" applyAlignment="1" applyProtection="1">
      <alignment horizontal="center"/>
      <protection locked="0"/>
    </xf>
    <xf numFmtId="166" fontId="2" fillId="2" borderId="4" xfId="0" applyNumberFormat="1" applyFont="1" applyFill="1" applyBorder="1" applyAlignment="1" applyProtection="1">
      <alignment horizontal="center"/>
      <protection locked="0"/>
    </xf>
  </cellXfs>
  <cellStyles count="2">
    <cellStyle name="Normal" xfId="0" builtinId="0"/>
    <cellStyle name="Pourcentage" xfId="1" builtinId="5"/>
  </cellStyles>
  <dxfs count="2"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3300"/>
      <color rgb="FFFFFFFF"/>
      <color rgb="FFFF6699"/>
      <color rgb="FF00FFFF"/>
      <color rgb="FFFF6600"/>
      <color rgb="FFF84A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E7EB8-1E81-4CE7-A5BF-185457F652F1}">
  <dimension ref="A1:O79"/>
  <sheetViews>
    <sheetView tabSelected="1" zoomScale="70" zoomScaleNormal="70" workbookViewId="0">
      <selection activeCell="C81" sqref="C81"/>
    </sheetView>
  </sheetViews>
  <sheetFormatPr baseColWidth="10" defaultColWidth="14.44140625" defaultRowHeight="13.8" x14ac:dyDescent="0.3"/>
  <cols>
    <col min="1" max="1" width="9" customWidth="1"/>
    <col min="2" max="2" width="23.6640625" customWidth="1"/>
    <col min="3" max="3" width="25.33203125" customWidth="1"/>
    <col min="6" max="6" width="24" customWidth="1"/>
    <col min="7" max="7" width="15.77734375" customWidth="1"/>
    <col min="8" max="8" width="16.88671875" customWidth="1"/>
    <col min="10" max="10" width="16.6640625" customWidth="1"/>
    <col min="11" max="11" width="17.21875" customWidth="1"/>
    <col min="12" max="12" width="17.109375" customWidth="1"/>
  </cols>
  <sheetData>
    <row r="1" spans="1:15" ht="15" customHeight="1" thickBot="1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ht="19.2" customHeight="1" thickBot="1" x14ac:dyDescent="0.35">
      <c r="A2" s="2"/>
      <c r="B2" s="27" t="s">
        <v>34</v>
      </c>
      <c r="C2" s="201" t="s">
        <v>44</v>
      </c>
      <c r="D2" s="29" t="s">
        <v>59</v>
      </c>
      <c r="E2" s="201" t="s">
        <v>74</v>
      </c>
      <c r="F2" s="29" t="s">
        <v>29</v>
      </c>
      <c r="G2" s="202" t="s">
        <v>53</v>
      </c>
      <c r="H2" s="203"/>
      <c r="I2" s="29" t="s">
        <v>30</v>
      </c>
      <c r="J2" s="202" t="s">
        <v>54</v>
      </c>
      <c r="K2" s="203"/>
      <c r="L2" s="29" t="s">
        <v>31</v>
      </c>
      <c r="M2" s="204">
        <v>46387</v>
      </c>
      <c r="N2" s="2"/>
    </row>
    <row r="3" spans="1:15" ht="15" customHeight="1" thickBo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5" ht="13.8" customHeight="1" x14ac:dyDescent="0.3">
      <c r="A4" s="4"/>
      <c r="B4" s="165" t="s">
        <v>35</v>
      </c>
      <c r="C4" s="166"/>
      <c r="D4" s="205">
        <v>50000</v>
      </c>
      <c r="E4" s="206"/>
      <c r="F4" s="2"/>
      <c r="G4" s="17"/>
      <c r="H4" s="2"/>
      <c r="I4" s="2"/>
      <c r="J4" s="1" t="s">
        <v>85</v>
      </c>
      <c r="K4" s="2"/>
      <c r="L4" s="2"/>
      <c r="M4" s="2"/>
      <c r="N4" s="2"/>
      <c r="O4" s="10"/>
    </row>
    <row r="5" spans="1:15" ht="13.8" customHeight="1" x14ac:dyDescent="0.3">
      <c r="A5" s="4"/>
      <c r="B5" s="190" t="s">
        <v>36</v>
      </c>
      <c r="C5" s="191"/>
      <c r="D5" s="192">
        <f>MONTH(M2)</f>
        <v>12</v>
      </c>
      <c r="E5" s="193"/>
      <c r="F5" s="2"/>
      <c r="G5" s="2"/>
      <c r="H5" s="2"/>
      <c r="I5" s="2"/>
      <c r="J5" s="2"/>
      <c r="K5" s="2"/>
      <c r="L5" s="2"/>
      <c r="M5" s="2"/>
      <c r="N5" s="2"/>
      <c r="O5" s="10"/>
    </row>
    <row r="6" spans="1:15" ht="13.8" customHeight="1" x14ac:dyDescent="0.3">
      <c r="A6" s="4"/>
      <c r="B6" s="171" t="s">
        <v>79</v>
      </c>
      <c r="C6" s="172"/>
      <c r="D6" s="196">
        <f>D4/D5*12</f>
        <v>50000</v>
      </c>
      <c r="E6" s="197"/>
      <c r="F6" s="2" t="s">
        <v>78</v>
      </c>
      <c r="G6" s="2"/>
      <c r="H6" s="2"/>
      <c r="I6" s="2"/>
      <c r="J6" s="2"/>
      <c r="K6" s="104" t="s">
        <v>82</v>
      </c>
      <c r="L6" s="104" t="s">
        <v>81</v>
      </c>
      <c r="M6" s="104" t="s">
        <v>87</v>
      </c>
      <c r="N6" s="2"/>
      <c r="O6" s="10"/>
    </row>
    <row r="7" spans="1:15" ht="13.8" customHeight="1" x14ac:dyDescent="0.3">
      <c r="A7" s="4"/>
      <c r="B7" s="26" t="s">
        <v>80</v>
      </c>
      <c r="C7" s="3"/>
      <c r="D7" s="207">
        <v>2500</v>
      </c>
      <c r="E7" s="208"/>
      <c r="F7" s="9"/>
      <c r="G7" s="2"/>
      <c r="H7" s="2"/>
      <c r="I7" s="2"/>
      <c r="J7" s="103" t="s">
        <v>83</v>
      </c>
      <c r="K7" s="105">
        <f ca="1">J38</f>
        <v>18318</v>
      </c>
      <c r="L7" s="105">
        <f ca="1">'NOM CLIENT_ANC_METH'!J35</f>
        <v>17773</v>
      </c>
      <c r="M7" s="106">
        <f ca="1">L7-K7</f>
        <v>-545</v>
      </c>
      <c r="N7" s="2"/>
      <c r="O7" s="10"/>
    </row>
    <row r="8" spans="1:15" ht="13.8" customHeight="1" x14ac:dyDescent="0.3">
      <c r="A8" s="4"/>
      <c r="B8" s="171" t="s">
        <v>19</v>
      </c>
      <c r="C8" s="178"/>
      <c r="D8" s="179">
        <f>IF(E2="IR",K49,0)</f>
        <v>0</v>
      </c>
      <c r="E8" s="180"/>
      <c r="F8" s="2" t="s">
        <v>63</v>
      </c>
      <c r="G8" s="2"/>
      <c r="H8" s="2"/>
      <c r="I8" s="2"/>
      <c r="J8" s="103" t="s">
        <v>84</v>
      </c>
      <c r="K8" s="105">
        <f ca="1">J47</f>
        <v>5476</v>
      </c>
      <c r="L8" s="105">
        <f ca="1">'NOM CLIENT_ANC_METH'!J44</f>
        <v>7729</v>
      </c>
      <c r="M8" s="106">
        <f ca="1">L8-K8</f>
        <v>2253</v>
      </c>
      <c r="N8" s="2"/>
      <c r="O8" s="10"/>
    </row>
    <row r="9" spans="1:15" ht="13.8" customHeight="1" x14ac:dyDescent="0.3">
      <c r="A9" s="4"/>
      <c r="B9" s="171" t="s">
        <v>56</v>
      </c>
      <c r="C9" s="172"/>
      <c r="D9" s="173">
        <f ca="1">J46</f>
        <v>5476</v>
      </c>
      <c r="E9" s="174"/>
      <c r="F9" s="2" t="s">
        <v>57</v>
      </c>
      <c r="G9" s="2"/>
      <c r="H9" s="4"/>
      <c r="I9" s="4"/>
      <c r="J9" s="103" t="s">
        <v>86</v>
      </c>
      <c r="K9" s="105">
        <f>J39</f>
        <v>139</v>
      </c>
      <c r="L9" s="105">
        <f>'NOM CLIENT_ANC_METH'!J36</f>
        <v>139</v>
      </c>
      <c r="M9" s="106">
        <f>L9-K9</f>
        <v>0</v>
      </c>
      <c r="N9" s="2"/>
      <c r="O9" s="10"/>
    </row>
    <row r="10" spans="1:15" ht="13.8" customHeight="1" x14ac:dyDescent="0.3">
      <c r="A10" s="4"/>
      <c r="B10" s="171" t="s">
        <v>1</v>
      </c>
      <c r="C10" s="172"/>
      <c r="D10" s="198">
        <f ca="1">J38</f>
        <v>18318</v>
      </c>
      <c r="E10" s="174"/>
      <c r="F10" s="2" t="s">
        <v>58</v>
      </c>
      <c r="G10" s="2"/>
      <c r="H10" s="2"/>
      <c r="I10" s="4"/>
      <c r="J10" s="103" t="s">
        <v>18</v>
      </c>
      <c r="K10" s="107">
        <f ca="1">J48</f>
        <v>23933</v>
      </c>
      <c r="L10" s="107">
        <f ca="1">'NOM CLIENT_ANC_METH'!J45</f>
        <v>25641</v>
      </c>
      <c r="M10" s="108">
        <f ca="1">L10-K10</f>
        <v>1708</v>
      </c>
      <c r="N10" s="2"/>
      <c r="O10" s="10"/>
    </row>
    <row r="11" spans="1:15" ht="13.8" customHeight="1" x14ac:dyDescent="0.3">
      <c r="A11" s="4"/>
      <c r="B11" s="171" t="s">
        <v>39</v>
      </c>
      <c r="C11" s="172"/>
      <c r="D11" s="175">
        <f ca="1">D6+D7+D8+D9+D10</f>
        <v>76294</v>
      </c>
      <c r="E11" s="174"/>
      <c r="F11" s="2"/>
      <c r="G11" s="2"/>
      <c r="H11" s="2"/>
      <c r="I11" s="2"/>
      <c r="J11" s="2"/>
      <c r="K11" s="2"/>
      <c r="L11" s="2"/>
      <c r="M11" s="2"/>
      <c r="N11" s="2"/>
      <c r="O11" s="10"/>
    </row>
    <row r="12" spans="1:15" ht="13.8" customHeight="1" thickBot="1" x14ac:dyDescent="0.35">
      <c r="A12" s="4"/>
      <c r="B12" s="171" t="s">
        <v>40</v>
      </c>
      <c r="C12" s="172"/>
      <c r="D12" s="175">
        <f ca="1">D11*0.26</f>
        <v>19836.440000000002</v>
      </c>
      <c r="E12" s="174"/>
      <c r="F12" s="2"/>
      <c r="G12" s="2"/>
      <c r="H12" s="2"/>
      <c r="I12" s="2"/>
      <c r="J12" s="2"/>
      <c r="K12" s="2"/>
      <c r="L12" s="2"/>
      <c r="M12" s="2"/>
      <c r="N12" s="2"/>
      <c r="O12" s="10"/>
    </row>
    <row r="13" spans="1:15" ht="13.8" customHeight="1" x14ac:dyDescent="0.3">
      <c r="A13" s="4"/>
      <c r="B13" s="176" t="s">
        <v>0</v>
      </c>
      <c r="C13" s="172"/>
      <c r="D13" s="177">
        <f ca="1">D11-D12</f>
        <v>56457.56</v>
      </c>
      <c r="E13" s="174"/>
      <c r="F13" s="2"/>
      <c r="G13" s="2"/>
      <c r="H13" s="2"/>
      <c r="I13" s="2"/>
      <c r="J13" s="169" t="s">
        <v>33</v>
      </c>
      <c r="K13" s="183">
        <f ca="1">J48/D6</f>
        <v>0.47865999999999997</v>
      </c>
      <c r="L13" s="2"/>
      <c r="M13" s="2"/>
      <c r="N13" s="2"/>
      <c r="O13" s="10"/>
    </row>
    <row r="14" spans="1:15" ht="13.8" customHeight="1" thickBot="1" x14ac:dyDescent="0.35">
      <c r="A14" s="4"/>
      <c r="B14" s="171" t="s">
        <v>47</v>
      </c>
      <c r="C14" s="172"/>
      <c r="D14" s="194">
        <v>0</v>
      </c>
      <c r="E14" s="195"/>
      <c r="F14" s="181" t="s">
        <v>50</v>
      </c>
      <c r="G14" s="182"/>
      <c r="H14" s="182"/>
      <c r="I14" s="2"/>
      <c r="J14" s="170"/>
      <c r="K14" s="184"/>
      <c r="L14" s="2"/>
      <c r="M14" s="2"/>
      <c r="N14" s="2"/>
      <c r="O14" s="10"/>
    </row>
    <row r="15" spans="1:15" ht="13.8" customHeight="1" thickBot="1" x14ac:dyDescent="0.35">
      <c r="A15" s="4"/>
      <c r="B15" s="171" t="s">
        <v>48</v>
      </c>
      <c r="C15" s="172"/>
      <c r="D15" s="194">
        <v>0</v>
      </c>
      <c r="E15" s="195"/>
      <c r="F15" s="181"/>
      <c r="G15" s="182"/>
      <c r="H15" s="182"/>
      <c r="I15" s="2"/>
      <c r="J15" s="2"/>
      <c r="K15" s="2"/>
      <c r="L15" s="2"/>
      <c r="M15" s="2"/>
      <c r="N15" s="2"/>
      <c r="O15" s="10"/>
    </row>
    <row r="16" spans="1:15" ht="13.8" customHeight="1" thickBot="1" x14ac:dyDescent="0.35">
      <c r="A16" s="4"/>
      <c r="B16" s="171" t="s">
        <v>46</v>
      </c>
      <c r="C16" s="172"/>
      <c r="D16" s="175">
        <f ca="1">D11+D14+D15+J41+J44</f>
        <v>76294</v>
      </c>
      <c r="E16" s="174"/>
      <c r="F16" s="2" t="s">
        <v>49</v>
      </c>
      <c r="G16" s="2"/>
      <c r="H16" s="2"/>
      <c r="I16" s="2"/>
      <c r="J16" s="211" t="s">
        <v>55</v>
      </c>
      <c r="K16" s="212">
        <v>48060</v>
      </c>
      <c r="L16" s="2"/>
      <c r="M16" s="2"/>
      <c r="N16" s="2"/>
      <c r="O16" s="10"/>
    </row>
    <row r="17" spans="1:14" ht="13.8" customHeight="1" thickBot="1" x14ac:dyDescent="0.35">
      <c r="A17" s="4"/>
      <c r="B17" s="152" t="s">
        <v>2</v>
      </c>
      <c r="C17" s="153"/>
      <c r="D17" s="209" t="s">
        <v>45</v>
      </c>
      <c r="E17" s="210"/>
      <c r="F17" s="2"/>
      <c r="G17" s="2"/>
      <c r="H17" s="2"/>
      <c r="I17" s="2"/>
      <c r="J17" s="2"/>
      <c r="K17" s="2"/>
      <c r="L17" s="2"/>
      <c r="M17" s="2"/>
      <c r="N17" s="2"/>
    </row>
    <row r="18" spans="1:14" ht="14.4" thickBot="1" x14ac:dyDescent="0.35">
      <c r="A18" s="4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16"/>
    </row>
    <row r="19" spans="1:14" ht="40.200000000000003" thickBot="1" x14ac:dyDescent="0.35">
      <c r="A19" s="4"/>
      <c r="B19" s="22" t="s">
        <v>3</v>
      </c>
      <c r="C19" s="156" t="s">
        <v>4</v>
      </c>
      <c r="D19" s="156"/>
      <c r="E19" s="156"/>
      <c r="F19" s="156"/>
      <c r="G19" s="23" t="s">
        <v>5</v>
      </c>
      <c r="H19" s="23" t="s">
        <v>6</v>
      </c>
      <c r="I19" s="24" t="s">
        <v>7</v>
      </c>
      <c r="J19" s="24" t="s">
        <v>8</v>
      </c>
      <c r="K19" s="25" t="str">
        <f>"Provision URSSAF de "&amp;J2&amp;" :"</f>
        <v>Provision URSSAF de NOM CLIENT :</v>
      </c>
      <c r="L19" s="2"/>
      <c r="M19" s="15"/>
      <c r="N19" s="15"/>
    </row>
    <row r="20" spans="1:14" ht="13.2" customHeight="1" x14ac:dyDescent="0.3">
      <c r="A20" s="4"/>
      <c r="B20" s="148" t="s">
        <v>9</v>
      </c>
      <c r="C20" s="145" t="str">
        <f>"Revenu professionnel inférieur à "&amp;ROUND($K$16*0.2,0)&amp;" € (20% du PASS)"</f>
        <v>Revenu professionnel inférieur à 9612 € (20% du PASS)</v>
      </c>
      <c r="D20" s="145"/>
      <c r="E20" s="145"/>
      <c r="F20" s="145"/>
      <c r="G20" s="38">
        <v>0</v>
      </c>
      <c r="H20" s="39">
        <f ca="1">ROUND(IF(D13&lt;K16*20%,K16*20%,0),0)</f>
        <v>0</v>
      </c>
      <c r="I20" s="40">
        <f>G20</f>
        <v>0</v>
      </c>
      <c r="J20" s="67">
        <f t="shared" ref="J20:J37" ca="1" si="0">ROUND(I20*H20,0)</f>
        <v>0</v>
      </c>
      <c r="K20" s="68"/>
      <c r="L20" s="2"/>
      <c r="M20" s="15"/>
      <c r="N20" s="15"/>
    </row>
    <row r="21" spans="1:14" ht="13.2" customHeight="1" x14ac:dyDescent="0.3">
      <c r="A21" s="4"/>
      <c r="B21" s="162"/>
      <c r="C21" s="146" t="str">
        <f>"Revenu professionnel compris entre "&amp;ROUND($K$16*20%,0)&amp;" € et "&amp;ROUND(K16*40%,0)&amp;" € (20% à 40% du PASS)"</f>
        <v>Revenu professionnel compris entre 9612 € et 19224 € (20% à 40% du PASS)</v>
      </c>
      <c r="D21" s="146"/>
      <c r="E21" s="146"/>
      <c r="F21" s="146"/>
      <c r="G21" s="41" t="s">
        <v>41</v>
      </c>
      <c r="H21" s="42">
        <f ca="1">IF(AND(D13&gt;=K16*20%,D13&lt;=K16*40%),D13,0)</f>
        <v>0</v>
      </c>
      <c r="I21" s="43">
        <f ca="1">IF($D$13&lt;$K$16*40%,IF(D13&gt;$K$16*20%-0.01,(D13-$K$16*20%)/($K$16*40%-$K$16*20%)*(1.5%-0%)+0%,0),0)</f>
        <v>0</v>
      </c>
      <c r="J21" s="69">
        <f t="shared" ca="1" si="0"/>
        <v>0</v>
      </c>
      <c r="K21" s="70"/>
      <c r="L21" s="2"/>
      <c r="M21" s="15"/>
      <c r="N21" s="15"/>
    </row>
    <row r="22" spans="1:14" ht="13.2" customHeight="1" x14ac:dyDescent="0.3">
      <c r="A22" s="4"/>
      <c r="B22" s="162"/>
      <c r="C22" s="164" t="str">
        <f>"Revenu professionnel compris entre "&amp;ROUND($K$16*40%,0)&amp;" € et "&amp;ROUND(K16*60%,0)&amp;" € (40% à 60% du PASS)"</f>
        <v>Revenu professionnel compris entre 19224 € et 28836 € (40% à 60% du PASS)</v>
      </c>
      <c r="D22" s="164"/>
      <c r="E22" s="164"/>
      <c r="F22" s="164"/>
      <c r="G22" s="41" t="s">
        <v>42</v>
      </c>
      <c r="H22" s="44">
        <f ca="1">IF(AND(D13&gt;=K16*40%,D13&lt;=K16*60%),D13,0)</f>
        <v>0</v>
      </c>
      <c r="I22" s="45">
        <f ca="1">IF(D13&lt;K16*60%,IF(D13&gt;K16*40%-0.01,(D13-K16*40%)/(K16*60%-K16*40%)*(4%-1.5%)+0%,0),0)</f>
        <v>0</v>
      </c>
      <c r="J22" s="69">
        <f t="shared" ca="1" si="0"/>
        <v>0</v>
      </c>
      <c r="K22" s="70"/>
      <c r="L22" s="2"/>
      <c r="M22" s="15"/>
      <c r="N22" s="15"/>
    </row>
    <row r="23" spans="1:14" ht="13.2" customHeight="1" x14ac:dyDescent="0.3">
      <c r="A23" s="4"/>
      <c r="B23" s="162"/>
      <c r="C23" s="146" t="str">
        <f>"Revenu professionnel compris entre "&amp;ROUND($K$16*60%,0)&amp;" € et "&amp;ROUND(K16*110%,0)&amp;" € (60% à 110% du PASS)"</f>
        <v>Revenu professionnel compris entre 28836 € et 52866 € (60% à 110% du PASS)</v>
      </c>
      <c r="D23" s="146"/>
      <c r="E23" s="146"/>
      <c r="F23" s="146"/>
      <c r="G23" s="41" t="s">
        <v>43</v>
      </c>
      <c r="H23" s="42">
        <f ca="1">IF(D13&gt;K16*60%-0.01,IF(D13&lt;K16*110%,D13,0),0)</f>
        <v>0</v>
      </c>
      <c r="I23" s="43">
        <f ca="1">IF(D13&lt;K16*110%,IF(D13&gt;K16*60%-0.01,(D13-K16*60%)/(K16*110%-K16*60%)*(6.5%-4%)+4%,0),0)</f>
        <v>0</v>
      </c>
      <c r="J23" s="69">
        <f t="shared" ca="1" si="0"/>
        <v>0</v>
      </c>
      <c r="K23" s="70"/>
      <c r="L23" s="2"/>
      <c r="M23" s="2"/>
      <c r="N23" s="2"/>
    </row>
    <row r="24" spans="1:14" ht="13.2" customHeight="1" thickBot="1" x14ac:dyDescent="0.35">
      <c r="A24" s="4"/>
      <c r="B24" s="163"/>
      <c r="C24" s="157" t="str">
        <f>"Revenu professionnel compris entre "&amp;ROUND($K$16*110%,0)&amp;" € et "&amp;ROUND(K16*5,0)&amp;" € (110% à 5x le PASS)"</f>
        <v>Revenu professionnel compris entre 52866 € et 240300 € (110% à 5x le PASS)</v>
      </c>
      <c r="D24" s="157"/>
      <c r="E24" s="157"/>
      <c r="F24" s="157"/>
      <c r="G24" s="46">
        <v>6.5000000000000002E-2</v>
      </c>
      <c r="H24" s="47">
        <f ca="1">IF(D13&lt;K16*110%,0,IF(AND(D13&gt;=K16*110%,D13&lt;=K16*5),D13,K16*5))</f>
        <v>56457.56</v>
      </c>
      <c r="I24" s="46">
        <f t="shared" ref="I24:I30" si="1">G24</f>
        <v>6.5000000000000002E-2</v>
      </c>
      <c r="J24" s="71">
        <f t="shared" ca="1" si="0"/>
        <v>3670</v>
      </c>
      <c r="K24" s="35">
        <v>5092</v>
      </c>
      <c r="L24" s="11"/>
      <c r="M24" s="2"/>
      <c r="N24" s="2"/>
    </row>
    <row r="25" spans="1:14" ht="13.2" customHeight="1" x14ac:dyDescent="0.3">
      <c r="A25" s="4"/>
      <c r="B25" s="158" t="s">
        <v>10</v>
      </c>
      <c r="C25" s="145" t="str">
        <f>"Revenu professionnel inférieur à "&amp;ROUND(K16*0.4,0)&amp;" € (40% du PASS)"</f>
        <v>Revenu professionnel inférieur à 19224 € (40% du PASS)</v>
      </c>
      <c r="D25" s="145"/>
      <c r="E25" s="145"/>
      <c r="F25" s="145"/>
      <c r="G25" s="49">
        <v>5.0000000000000001E-3</v>
      </c>
      <c r="H25" s="50">
        <f ca="1">ROUND(IF(D13&lt;K16*40%,K16*40%,0),0)</f>
        <v>0</v>
      </c>
      <c r="I25" s="51">
        <f t="shared" si="1"/>
        <v>5.0000000000000001E-3</v>
      </c>
      <c r="J25" s="72">
        <f t="shared" ca="1" si="0"/>
        <v>0</v>
      </c>
      <c r="K25" s="73"/>
      <c r="L25" s="2"/>
      <c r="M25" s="2"/>
      <c r="N25" s="2"/>
    </row>
    <row r="26" spans="1:14" ht="13.2" customHeight="1" x14ac:dyDescent="0.3">
      <c r="A26" s="4"/>
      <c r="B26" s="159"/>
      <c r="C26" s="146" t="str">
        <f>"Revenu professionnel compris entre "&amp;ROUND(K16*40%,0)&amp;" € et "&amp;ROUND(K16*60%,0)&amp;" € (40% à 60% du PASS)"</f>
        <v>Revenu professionnel compris entre 19224 € et 28836 € (40% à 60% du PASS)</v>
      </c>
      <c r="D26" s="146"/>
      <c r="E26" s="146"/>
      <c r="F26" s="146"/>
      <c r="G26" s="52">
        <v>5.0000000000000001E-3</v>
      </c>
      <c r="H26" s="53">
        <f ca="1">IF(AND(D13&gt;=K16*40%,D13&lt;=K16*60%),D13,0)</f>
        <v>0</v>
      </c>
      <c r="I26" s="54">
        <f t="shared" si="1"/>
        <v>5.0000000000000001E-3</v>
      </c>
      <c r="J26" s="74">
        <f t="shared" ca="1" si="0"/>
        <v>0</v>
      </c>
      <c r="K26" s="75"/>
      <c r="L26" s="2"/>
      <c r="M26" s="2"/>
      <c r="N26" s="2"/>
    </row>
    <row r="27" spans="1:14" ht="13.2" customHeight="1" x14ac:dyDescent="0.3">
      <c r="A27" s="4"/>
      <c r="B27" s="159"/>
      <c r="C27" s="160" t="str">
        <f>"Revenu professionnel compris entre "&amp;ROUND(K16*60%,0)&amp;" € et "&amp;ROUND(K16*110%,0)&amp;" € (60% à 110% du PASS)"</f>
        <v>Revenu professionnel compris entre 28836 € et 52866 € (60% à 110% du PASS)</v>
      </c>
      <c r="D27" s="160"/>
      <c r="E27" s="160"/>
      <c r="F27" s="160"/>
      <c r="G27" s="52">
        <v>5.0000000000000001E-3</v>
      </c>
      <c r="H27" s="55">
        <f ca="1">IF(D13&gt;K16*60%-0.01,IF(D13&lt;K16*110%,D13,0),0)</f>
        <v>0</v>
      </c>
      <c r="I27" s="56">
        <f t="shared" si="1"/>
        <v>5.0000000000000001E-3</v>
      </c>
      <c r="J27" s="76">
        <f t="shared" ca="1" si="0"/>
        <v>0</v>
      </c>
      <c r="K27" s="75"/>
      <c r="L27" s="11"/>
      <c r="M27" s="2"/>
      <c r="N27" s="2"/>
    </row>
    <row r="28" spans="1:14" ht="13.2" customHeight="1" thickBot="1" x14ac:dyDescent="0.35">
      <c r="A28" s="4"/>
      <c r="B28" s="159"/>
      <c r="C28" s="161" t="str">
        <f>"Revenu professionnel compris entre "&amp;ROUND(K16*110%,0)&amp;" € et "&amp;ROUND(K16*5,0)&amp;" € (110% à 5x le PASS)"</f>
        <v>Revenu professionnel compris entre 52866 € et 240300 € (110% à 5x le PASS)</v>
      </c>
      <c r="D28" s="161"/>
      <c r="E28" s="161"/>
      <c r="F28" s="161"/>
      <c r="G28" s="57">
        <v>5.0000000000000001E-3</v>
      </c>
      <c r="H28" s="58">
        <f ca="1">IF(D13&lt;K16*110%,0,IF(AND(D13&gt;=K16*110%,D13&lt;=K16*5),D13,K16*5))</f>
        <v>56457.56</v>
      </c>
      <c r="I28" s="59">
        <f t="shared" si="1"/>
        <v>5.0000000000000001E-3</v>
      </c>
      <c r="J28" s="77">
        <f t="shared" ca="1" si="0"/>
        <v>282</v>
      </c>
      <c r="K28" s="78">
        <v>436</v>
      </c>
      <c r="L28" s="18"/>
      <c r="M28" s="2"/>
      <c r="N28" s="2"/>
    </row>
    <row r="29" spans="1:14" ht="13.2" customHeight="1" thickBot="1" x14ac:dyDescent="0.35">
      <c r="A29" s="4"/>
      <c r="B29" s="60" t="s">
        <v>37</v>
      </c>
      <c r="C29" s="141" t="str">
        <f>"Part de revenus suppérieurs à "&amp;ROUND(K16*5,0)&amp;" € (5x le PASS)"</f>
        <v>Part de revenus suppérieurs à 240300 € (5x le PASS)</v>
      </c>
      <c r="D29" s="141"/>
      <c r="E29" s="141"/>
      <c r="F29" s="141"/>
      <c r="G29" s="61">
        <v>6.5000000000000002E-2</v>
      </c>
      <c r="H29" s="62">
        <f ca="1">IF(D13&gt;K16*5,D13-K16*5,0)</f>
        <v>0</v>
      </c>
      <c r="I29" s="61">
        <f t="shared" si="1"/>
        <v>6.5000000000000002E-2</v>
      </c>
      <c r="J29" s="79">
        <f t="shared" ca="1" si="0"/>
        <v>0</v>
      </c>
      <c r="K29" s="80"/>
      <c r="L29" s="16"/>
      <c r="M29" s="2"/>
      <c r="N29" s="2"/>
    </row>
    <row r="30" spans="1:14" ht="13.2" customHeight="1" x14ac:dyDescent="0.3">
      <c r="A30" s="4"/>
      <c r="B30" s="142" t="s">
        <v>11</v>
      </c>
      <c r="C30" s="145" t="str">
        <f>"Revenu professionnel inférieur à "&amp;ROUND(K16*110%,0)&amp;" € (110 % du PASS)"</f>
        <v>Revenu professionnel inférieur à 52866 € (110 % du PASS)</v>
      </c>
      <c r="D30" s="145"/>
      <c r="E30" s="145"/>
      <c r="F30" s="145"/>
      <c r="G30" s="40">
        <v>0</v>
      </c>
      <c r="H30" s="39">
        <f ca="1">IF(D13&lt;=K16*110%,D13,0)</f>
        <v>0</v>
      </c>
      <c r="I30" s="40">
        <f t="shared" si="1"/>
        <v>0</v>
      </c>
      <c r="J30" s="67">
        <f ca="1">ROUND(I30*H30,0)</f>
        <v>0</v>
      </c>
      <c r="K30" s="68"/>
      <c r="L30" s="19"/>
      <c r="M30" s="2"/>
      <c r="N30" s="2"/>
    </row>
    <row r="31" spans="1:14" ht="13.2" customHeight="1" x14ac:dyDescent="0.3">
      <c r="A31" s="4"/>
      <c r="B31" s="143"/>
      <c r="C31" s="146" t="str">
        <f>"Revenu compris entre "&amp;ROUND(K16*110%,0)&amp;" € et "&amp;ROUND(K16*140%,0)&amp;" € (110 % et 140 % du PASS)"</f>
        <v>Revenu compris entre 52866 € et 67284 € (110 % et 140 % du PASS)</v>
      </c>
      <c r="D31" s="146"/>
      <c r="E31" s="146"/>
      <c r="F31" s="146"/>
      <c r="G31" s="63" t="s">
        <v>12</v>
      </c>
      <c r="H31" s="42">
        <f ca="1">IF(AND(D13&gt;=K16*110%,D13&lt;=K16*140%),D13,0)</f>
        <v>56457.56</v>
      </c>
      <c r="I31" s="43">
        <f ca="1">IF(AND(D13&gt;K16*110%,D13&lt;K16*140%),((D13-K16*110%)/(K16*140%-K16*110%))*3.1%,0)</f>
        <v>7.7221778332639589E-3</v>
      </c>
      <c r="J31" s="69">
        <f t="shared" ca="1" si="0"/>
        <v>436</v>
      </c>
      <c r="K31" s="70"/>
      <c r="L31" s="18"/>
      <c r="M31" s="16"/>
      <c r="N31" s="16"/>
    </row>
    <row r="32" spans="1:14" ht="13.2" customHeight="1" thickBot="1" x14ac:dyDescent="0.35">
      <c r="A32" s="4"/>
      <c r="B32" s="144"/>
      <c r="C32" s="147" t="str">
        <f>"Revenu professionnel supérieur à "&amp;ROUND(K16*140%,0)&amp;" € (140 % du PASS)"</f>
        <v>Revenu professionnel supérieur à 67284 € (140 % du PASS)</v>
      </c>
      <c r="D32" s="147"/>
      <c r="E32" s="147"/>
      <c r="F32" s="147"/>
      <c r="G32" s="64">
        <v>3.1E-2</v>
      </c>
      <c r="H32" s="65">
        <f ca="1">IF(D13&gt;K16*140%,D13,0)</f>
        <v>0</v>
      </c>
      <c r="I32" s="64">
        <f>G32</f>
        <v>3.1E-2</v>
      </c>
      <c r="J32" s="81">
        <f t="shared" ca="1" si="0"/>
        <v>0</v>
      </c>
      <c r="K32" s="37"/>
      <c r="L32" s="11"/>
      <c r="M32" s="2"/>
      <c r="N32" s="2"/>
    </row>
    <row r="33" spans="1:14" ht="13.2" customHeight="1" x14ac:dyDescent="0.3">
      <c r="A33" s="4"/>
      <c r="B33" s="148" t="s">
        <v>13</v>
      </c>
      <c r="C33" s="145" t="str">
        <f>"Revenu dans la limite de "&amp;K16&amp;" € (1 PASS) (dont base min 11,5% du PASS soit "&amp;ROUND(K16*11.5%,0)&amp;" €)"</f>
        <v>Revenu dans la limite de 48060 € (1 PASS) (dont base min 11,5% du PASS soit 5527 €)</v>
      </c>
      <c r="D33" s="145"/>
      <c r="E33" s="145"/>
      <c r="F33" s="145"/>
      <c r="G33" s="40">
        <v>0.1787</v>
      </c>
      <c r="H33" s="39">
        <f ca="1">IF(D13&lt;K16*11.5%,K16*11.5%,IF(D13&gt;K16,K16,D13))</f>
        <v>48060</v>
      </c>
      <c r="I33" s="40">
        <f>G33</f>
        <v>0.1787</v>
      </c>
      <c r="J33" s="67">
        <f ca="1">ROUND(I33*H33,0)</f>
        <v>8588</v>
      </c>
      <c r="K33" s="68">
        <v>6257</v>
      </c>
      <c r="L33" s="2"/>
      <c r="M33" s="2"/>
      <c r="N33" s="2"/>
    </row>
    <row r="34" spans="1:14" ht="13.2" customHeight="1" thickBot="1" x14ac:dyDescent="0.35">
      <c r="A34" s="4"/>
      <c r="B34" s="149"/>
      <c r="C34" s="147" t="str">
        <f>"Revenu au-delà de "&amp;K16&amp;" € (1 PASS)"</f>
        <v>Revenu au-delà de 48060 € (1 PASS)</v>
      </c>
      <c r="D34" s="147"/>
      <c r="E34" s="147"/>
      <c r="F34" s="147"/>
      <c r="G34" s="64">
        <v>7.1999999999999998E-3</v>
      </c>
      <c r="H34" s="65">
        <f ca="1">IF(D13&gt;K16,D13-K16,0)</f>
        <v>8397.5599999999977</v>
      </c>
      <c r="I34" s="64">
        <f>G34</f>
        <v>7.1999999999999998E-3</v>
      </c>
      <c r="J34" s="81">
        <f ca="1">ROUND(H34*I34,0)</f>
        <v>60</v>
      </c>
      <c r="K34" s="37"/>
      <c r="L34" s="2"/>
      <c r="M34" s="2"/>
      <c r="N34" s="2"/>
    </row>
    <row r="35" spans="1:14" ht="13.2" customHeight="1" x14ac:dyDescent="0.3">
      <c r="A35" s="4"/>
      <c r="B35" s="148" t="s">
        <v>14</v>
      </c>
      <c r="C35" s="145" t="str">
        <f>"Revenu dans la limite de "&amp;K16&amp; " €"</f>
        <v>Revenu dans la limite de 48060 €</v>
      </c>
      <c r="D35" s="145"/>
      <c r="E35" s="145"/>
      <c r="F35" s="145"/>
      <c r="G35" s="40">
        <v>8.1000000000000003E-2</v>
      </c>
      <c r="H35" s="39">
        <f ca="1">IF(D13&lt;K16,D13,K16)</f>
        <v>48060</v>
      </c>
      <c r="I35" s="40">
        <f>G35</f>
        <v>8.1000000000000003E-2</v>
      </c>
      <c r="J35" s="67">
        <f t="shared" ca="1" si="0"/>
        <v>3893</v>
      </c>
      <c r="K35" s="68">
        <v>3750</v>
      </c>
      <c r="L35" s="2"/>
      <c r="M35" s="2"/>
      <c r="N35" s="2"/>
    </row>
    <row r="36" spans="1:14" ht="13.2" customHeight="1" thickBot="1" x14ac:dyDescent="0.35">
      <c r="A36" s="4"/>
      <c r="B36" s="149"/>
      <c r="C36" s="147" t="str">
        <f>"Revenu compris entre " &amp; K16 &amp; "€ et "&amp;K16*4&amp;" € (4 PASS)"</f>
        <v>Revenu compris entre 48060€ et 192240 € (4 PASS)</v>
      </c>
      <c r="D36" s="147"/>
      <c r="E36" s="147"/>
      <c r="F36" s="147"/>
      <c r="G36" s="64">
        <v>9.0999999999999998E-2</v>
      </c>
      <c r="H36" s="65">
        <f ca="1">IF(D13&gt;K16,IF(D13&gt;K16*4,K16*4-K16,D13-K16),0)</f>
        <v>8397.5599999999977</v>
      </c>
      <c r="I36" s="64">
        <f>G36</f>
        <v>9.0999999999999998E-2</v>
      </c>
      <c r="J36" s="81">
        <f t="shared" ca="1" si="0"/>
        <v>764</v>
      </c>
      <c r="K36" s="37">
        <v>3200</v>
      </c>
      <c r="L36" s="2"/>
      <c r="M36" s="2"/>
      <c r="N36" s="2"/>
    </row>
    <row r="37" spans="1:14" ht="13.2" customHeight="1" thickBot="1" x14ac:dyDescent="0.35">
      <c r="A37" s="4"/>
      <c r="B37" s="48" t="s">
        <v>15</v>
      </c>
      <c r="C37" s="141" t="str">
        <f>"Revenu dans la limite de "&amp;K16&amp;" €
(1 PASS) (dont base min 11,5% du PASS soit "&amp;ROUND(K16*11.5%,0)&amp;" €)"</f>
        <v>Revenu dans la limite de 48060 €
(1 PASS) (dont base min 11,5% du PASS soit 5527 €)</v>
      </c>
      <c r="D37" s="141"/>
      <c r="E37" s="141"/>
      <c r="F37" s="141"/>
      <c r="G37" s="61">
        <v>1.2999999999999999E-2</v>
      </c>
      <c r="H37" s="62">
        <f ca="1">IF(D13&lt;K16*11.5%+0.01,K16*11.5%,IF(D13&lt;K16+0.01,D13,K16))</f>
        <v>48060</v>
      </c>
      <c r="I37" s="61">
        <v>1.2999999999999999E-2</v>
      </c>
      <c r="J37" s="79">
        <f t="shared" ca="1" si="0"/>
        <v>625</v>
      </c>
      <c r="K37" s="80">
        <v>458</v>
      </c>
      <c r="L37" s="2"/>
      <c r="M37" s="2"/>
      <c r="N37" s="2"/>
    </row>
    <row r="38" spans="1:14" ht="13.2" customHeight="1" thickBot="1" x14ac:dyDescent="0.35">
      <c r="A38" s="4"/>
      <c r="B38" s="150" t="s">
        <v>16</v>
      </c>
      <c r="C38" s="151"/>
      <c r="D38" s="151"/>
      <c r="E38" s="151"/>
      <c r="F38" s="151"/>
      <c r="G38" s="151"/>
      <c r="H38" s="151"/>
      <c r="I38" s="151"/>
      <c r="J38" s="33">
        <f ca="1">SUM(J20:J37)</f>
        <v>18318</v>
      </c>
      <c r="K38" s="82">
        <f>SUM(K20:K37)</f>
        <v>19193</v>
      </c>
      <c r="L38" s="11"/>
      <c r="M38" s="11"/>
      <c r="N38" s="2"/>
    </row>
    <row r="39" spans="1:14" ht="13.2" customHeight="1" thickBot="1" x14ac:dyDescent="0.35">
      <c r="A39" s="4"/>
      <c r="B39" s="139" t="str">
        <f>"Contribution à la formation professionnelle (0,25% (1) / 0,34% (2) / 0,29% (3) de "&amp;K16&amp;" €)"</f>
        <v>Contribution à la formation professionnelle (0,25% (1) / 0,34% (2) / 0,29% (3) de 48060 €)</v>
      </c>
      <c r="C39" s="140"/>
      <c r="D39" s="140"/>
      <c r="E39" s="140"/>
      <c r="F39" s="140"/>
      <c r="G39" s="66" t="s">
        <v>17</v>
      </c>
      <c r="H39" s="62">
        <f>K16</f>
        <v>48060</v>
      </c>
      <c r="I39" s="61">
        <f>IF(D17="1/ Commerçant",0.25%,IF(D17="2/ Commerçant + conjoint collaborateur",0.34%,IF(D17="3/ Artisan",0.29%,0)))</f>
        <v>2.8999999999999998E-3</v>
      </c>
      <c r="J39" s="83">
        <f>ROUND(I39*H39,0)</f>
        <v>139</v>
      </c>
      <c r="K39" s="80">
        <v>137</v>
      </c>
      <c r="L39" s="2"/>
      <c r="M39" s="2"/>
      <c r="N39" s="2"/>
    </row>
    <row r="40" spans="1:14" ht="13.2" customHeight="1" x14ac:dyDescent="0.3">
      <c r="A40" s="4"/>
      <c r="B40" s="124" t="s">
        <v>68</v>
      </c>
      <c r="C40" s="125"/>
      <c r="D40" s="125"/>
      <c r="E40" s="125"/>
      <c r="F40" s="125"/>
      <c r="G40" s="40">
        <v>6.8000000000000005E-2</v>
      </c>
      <c r="H40" s="39">
        <f ca="1">D13</f>
        <v>56457.56</v>
      </c>
      <c r="I40" s="40">
        <f>G40</f>
        <v>6.8000000000000005E-2</v>
      </c>
      <c r="J40" s="84">
        <f ca="1">ROUND(I40*H40,0)</f>
        <v>3839</v>
      </c>
      <c r="K40" s="85"/>
      <c r="L40" s="20"/>
      <c r="M40" s="13"/>
      <c r="N40" s="13"/>
    </row>
    <row r="41" spans="1:14" ht="13.2" customHeight="1" x14ac:dyDescent="0.3">
      <c r="A41" s="4"/>
      <c r="B41" s="130" t="s">
        <v>69</v>
      </c>
      <c r="C41" s="131"/>
      <c r="D41" s="131"/>
      <c r="E41" s="131"/>
      <c r="F41" s="131"/>
      <c r="G41" s="43">
        <v>6.8000000000000005E-2</v>
      </c>
      <c r="H41" s="21">
        <f>(D14+D15)</f>
        <v>0</v>
      </c>
      <c r="I41" s="43">
        <f>G41</f>
        <v>6.8000000000000005E-2</v>
      </c>
      <c r="J41" s="86">
        <f>ROUND(I41*H41,0)</f>
        <v>0</v>
      </c>
      <c r="K41" s="87"/>
      <c r="L41" s="20"/>
      <c r="M41" s="13"/>
      <c r="N41" s="13"/>
    </row>
    <row r="42" spans="1:14" ht="13.2" customHeight="1" thickBot="1" x14ac:dyDescent="0.35">
      <c r="A42" s="4"/>
      <c r="B42" s="132" t="s">
        <v>51</v>
      </c>
      <c r="C42" s="133"/>
      <c r="D42" s="133"/>
      <c r="E42" s="133"/>
      <c r="F42" s="133"/>
      <c r="G42" s="133"/>
      <c r="H42" s="133"/>
      <c r="I42" s="133"/>
      <c r="J42" s="34">
        <f ca="1">J41+J40</f>
        <v>3839</v>
      </c>
      <c r="K42" s="37">
        <v>3349</v>
      </c>
      <c r="L42" s="12"/>
      <c r="M42" s="13"/>
      <c r="N42" s="13"/>
    </row>
    <row r="43" spans="1:14" ht="13.2" customHeight="1" x14ac:dyDescent="0.3">
      <c r="A43" s="4"/>
      <c r="B43" s="124" t="s">
        <v>70</v>
      </c>
      <c r="C43" s="125"/>
      <c r="D43" s="125"/>
      <c r="E43" s="125"/>
      <c r="F43" s="125"/>
      <c r="G43" s="40">
        <v>2.9000000000000001E-2</v>
      </c>
      <c r="H43" s="39">
        <f ca="1">D13</f>
        <v>56457.56</v>
      </c>
      <c r="I43" s="40">
        <f>G43</f>
        <v>2.9000000000000001E-2</v>
      </c>
      <c r="J43" s="84">
        <f ca="1">ROUND(I43*H43,0)</f>
        <v>1637</v>
      </c>
      <c r="K43" s="85"/>
      <c r="L43" s="12"/>
      <c r="M43" s="13"/>
      <c r="N43" s="13"/>
    </row>
    <row r="44" spans="1:14" ht="13.2" customHeight="1" thickBot="1" x14ac:dyDescent="0.35">
      <c r="A44" s="4"/>
      <c r="B44" s="130" t="s">
        <v>71</v>
      </c>
      <c r="C44" s="131"/>
      <c r="D44" s="131"/>
      <c r="E44" s="131"/>
      <c r="F44" s="131"/>
      <c r="G44" s="64">
        <v>2.9000000000000001E-2</v>
      </c>
      <c r="H44" s="89">
        <f>H41</f>
        <v>0</v>
      </c>
      <c r="I44" s="64">
        <f>G44</f>
        <v>2.9000000000000001E-2</v>
      </c>
      <c r="J44" s="86">
        <f>ROUND(I44*H44,0)</f>
        <v>0</v>
      </c>
      <c r="K44" s="87"/>
      <c r="L44" s="12"/>
      <c r="M44" s="13"/>
      <c r="N44" s="13"/>
    </row>
    <row r="45" spans="1:14" ht="13.2" customHeight="1" thickBot="1" x14ac:dyDescent="0.35">
      <c r="A45" s="4"/>
      <c r="B45" s="132" t="s">
        <v>60</v>
      </c>
      <c r="C45" s="133"/>
      <c r="D45" s="133"/>
      <c r="E45" s="133"/>
      <c r="F45" s="136"/>
      <c r="G45" s="31" t="s">
        <v>61</v>
      </c>
      <c r="H45" s="213" t="s">
        <v>62</v>
      </c>
      <c r="I45" s="214"/>
      <c r="J45" s="90">
        <f ca="1">J44+J43</f>
        <v>1637</v>
      </c>
      <c r="K45" s="37">
        <f>4777-K42</f>
        <v>1428</v>
      </c>
      <c r="L45" s="12"/>
      <c r="M45" s="13"/>
      <c r="N45" s="13"/>
    </row>
    <row r="46" spans="1:14" ht="13.2" customHeight="1" x14ac:dyDescent="0.3">
      <c r="A46" s="4"/>
      <c r="B46" s="134" t="s">
        <v>52</v>
      </c>
      <c r="C46" s="135"/>
      <c r="D46" s="135"/>
      <c r="E46" s="135"/>
      <c r="F46" s="135"/>
      <c r="G46" s="135"/>
      <c r="H46" s="135"/>
      <c r="I46" s="135"/>
      <c r="J46" s="88">
        <f ca="1">J40+J43</f>
        <v>5476</v>
      </c>
      <c r="K46" s="85"/>
      <c r="L46" s="12"/>
      <c r="M46" s="13"/>
      <c r="N46" s="13"/>
    </row>
    <row r="47" spans="1:14" ht="13.2" customHeight="1" thickBot="1" x14ac:dyDescent="0.35">
      <c r="A47" s="4"/>
      <c r="B47" s="126" t="s">
        <v>38</v>
      </c>
      <c r="C47" s="127"/>
      <c r="D47" s="127"/>
      <c r="E47" s="127"/>
      <c r="F47" s="127"/>
      <c r="G47" s="127"/>
      <c r="H47" s="127"/>
      <c r="I47" s="127"/>
      <c r="J47" s="36">
        <f ca="1">J42+J45</f>
        <v>5476</v>
      </c>
      <c r="K47" s="37">
        <f>K42+K45</f>
        <v>4777</v>
      </c>
      <c r="L47" s="12"/>
      <c r="M47" s="13"/>
      <c r="N47" s="13"/>
    </row>
    <row r="48" spans="1:14" ht="13.2" customHeight="1" thickBot="1" x14ac:dyDescent="0.35">
      <c r="A48" s="4"/>
      <c r="B48" s="128" t="s">
        <v>18</v>
      </c>
      <c r="C48" s="129"/>
      <c r="D48" s="129"/>
      <c r="E48" s="129"/>
      <c r="F48" s="129"/>
      <c r="G48" s="129"/>
      <c r="H48" s="129"/>
      <c r="I48" s="129"/>
      <c r="J48" s="91">
        <f ca="1">J38+J39+J47</f>
        <v>23933</v>
      </c>
      <c r="K48" s="82">
        <f>K38+K39+K47</f>
        <v>24107</v>
      </c>
      <c r="L48" s="14"/>
      <c r="M48" s="14"/>
      <c r="N48" s="14"/>
    </row>
    <row r="49" spans="1:14" ht="14.4" thickBot="1" x14ac:dyDescent="0.35">
      <c r="A49" s="4"/>
      <c r="B49" s="2" t="s">
        <v>32</v>
      </c>
      <c r="C49" s="2"/>
      <c r="D49" s="2"/>
      <c r="E49" s="2"/>
      <c r="F49" s="2"/>
      <c r="G49" s="2"/>
      <c r="H49" s="11"/>
      <c r="I49" s="2"/>
      <c r="J49" s="31" t="s">
        <v>19</v>
      </c>
      <c r="K49" s="92">
        <f ca="1">IF(H45="Rémunération",(J48-K48),(J48-J45)-(K48-K45))</f>
        <v>-174</v>
      </c>
      <c r="L49" s="2"/>
      <c r="M49" s="2"/>
      <c r="N49" s="2"/>
    </row>
    <row r="50" spans="1:14" x14ac:dyDescent="0.3">
      <c r="A50" s="4"/>
      <c r="B50" s="2"/>
      <c r="C50" s="2"/>
      <c r="D50" s="2"/>
      <c r="E50" s="2"/>
      <c r="F50" s="2"/>
      <c r="G50" s="2"/>
      <c r="H50" s="11"/>
      <c r="I50" s="2"/>
      <c r="J50" s="2"/>
      <c r="K50" s="2"/>
      <c r="L50" s="2"/>
      <c r="M50" s="2"/>
      <c r="N50" s="2"/>
    </row>
    <row r="51" spans="1:14" x14ac:dyDescent="0.3">
      <c r="A51" s="4"/>
      <c r="B51" s="1" t="s">
        <v>64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11"/>
      <c r="N51" s="2"/>
    </row>
    <row r="52" spans="1:14" x14ac:dyDescent="0.3">
      <c r="A52" s="4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1:14" x14ac:dyDescent="0.3">
      <c r="A53" s="4"/>
      <c r="B53" s="5" t="s">
        <v>20</v>
      </c>
      <c r="C53" s="5" t="s">
        <v>21</v>
      </c>
      <c r="D53" s="5" t="s">
        <v>22</v>
      </c>
      <c r="E53" s="5" t="s">
        <v>23</v>
      </c>
      <c r="F53" s="6" t="s">
        <v>24</v>
      </c>
      <c r="G53" s="5" t="s">
        <v>25</v>
      </c>
      <c r="H53" s="5" t="s">
        <v>26</v>
      </c>
      <c r="I53" s="2"/>
      <c r="J53" s="2"/>
      <c r="K53" s="2"/>
      <c r="L53" s="2"/>
      <c r="M53" s="2"/>
      <c r="N53" s="2"/>
    </row>
    <row r="54" spans="1:14" x14ac:dyDescent="0.3">
      <c r="A54" s="4"/>
      <c r="B54" s="97">
        <f t="shared" ref="B54:B65" si="2">$M$2</f>
        <v>46387</v>
      </c>
      <c r="C54" s="98" t="str">
        <f t="shared" ref="C54:C65" si="3">"PROV_"&amp;$J$2&amp;""</f>
        <v>PROV_NOM CLIENT</v>
      </c>
      <c r="D54" s="215">
        <v>6461001</v>
      </c>
      <c r="E54" s="98" t="str">
        <f t="shared" ref="E54:E65" si="4">"PROV CADRAGE DE "&amp;$J$2</f>
        <v>PROV CADRAGE DE NOM CLIENT</v>
      </c>
      <c r="F54" s="98"/>
      <c r="G54" s="98">
        <f ca="1">IF(SUM(J20:J24)*$D$5/12&gt;SUM(K20:K24),(SUM(J20:J24)*$D$5/12-SUM(K20:K24)),0)</f>
        <v>0</v>
      </c>
      <c r="H54" s="98">
        <f ca="1">IF(SUM(K20:K24)&gt;SUM(J20:J24)*$D$5/12,SUM(K20:K24)-SUM(J20:J24)*$D$5/12,0)</f>
        <v>1422</v>
      </c>
      <c r="I54" s="2" t="s">
        <v>9</v>
      </c>
      <c r="J54" s="2"/>
      <c r="K54" s="2"/>
      <c r="L54" s="2"/>
      <c r="M54" s="2"/>
      <c r="N54" s="2"/>
    </row>
    <row r="55" spans="1:14" x14ac:dyDescent="0.3">
      <c r="A55" s="4"/>
      <c r="B55" s="97">
        <f t="shared" si="2"/>
        <v>46387</v>
      </c>
      <c r="C55" s="98" t="str">
        <f t="shared" si="3"/>
        <v>PROV_NOM CLIENT</v>
      </c>
      <c r="D55" s="215">
        <v>6461002</v>
      </c>
      <c r="E55" s="98" t="str">
        <f t="shared" si="4"/>
        <v>PROV CADRAGE DE NOM CLIENT</v>
      </c>
      <c r="F55" s="98"/>
      <c r="G55" s="98">
        <f ca="1">IF(SUM(J25:J28)*$D$5/12&gt;SUM(K25:K28),(SUM(J25:J28)*$D$5/12-SUM(K25:K28)),0)</f>
        <v>0</v>
      </c>
      <c r="H55" s="98">
        <f ca="1">IF(SUM(K25:K28)&gt;SUM(J25:J28)*$D$5/12,SUM(K25:K28)-SUM(J25:J28)*$D$5/12,0)</f>
        <v>154</v>
      </c>
      <c r="I55" s="2" t="s">
        <v>10</v>
      </c>
      <c r="J55" s="2"/>
      <c r="K55" s="2"/>
      <c r="L55" s="2"/>
      <c r="M55" s="2"/>
      <c r="N55" s="2"/>
    </row>
    <row r="56" spans="1:14" x14ac:dyDescent="0.3">
      <c r="A56" s="4"/>
      <c r="B56" s="97">
        <f t="shared" si="2"/>
        <v>46387</v>
      </c>
      <c r="C56" s="98" t="str">
        <f t="shared" si="3"/>
        <v>PROV_NOM CLIENT</v>
      </c>
      <c r="D56" s="215">
        <v>6461003</v>
      </c>
      <c r="E56" s="98" t="str">
        <f t="shared" si="4"/>
        <v>PROV CADRAGE DE NOM CLIENT</v>
      </c>
      <c r="F56" s="98"/>
      <c r="G56" s="98">
        <f ca="1">IF(SUM(J29:J29)*$D$5/12&gt;SUM(K29:K29),(SUM(J29:J29)*$D$5/12-SUM(K29:K29)),0)</f>
        <v>0</v>
      </c>
      <c r="H56" s="98">
        <f ca="1">IF(SUM(K29:K29)&gt;SUM(J29:J29)*$D$5/12,SUM(K29:K29)-SUM(J29:J29)*$D$5/12,0)</f>
        <v>0</v>
      </c>
      <c r="I56" s="2" t="s">
        <v>37</v>
      </c>
      <c r="J56" s="2"/>
      <c r="K56" s="2"/>
      <c r="L56" s="2"/>
      <c r="M56" s="2"/>
      <c r="N56" s="2"/>
    </row>
    <row r="57" spans="1:14" x14ac:dyDescent="0.3">
      <c r="A57" s="4"/>
      <c r="B57" s="97">
        <f t="shared" si="2"/>
        <v>46387</v>
      </c>
      <c r="C57" s="98" t="str">
        <f t="shared" si="3"/>
        <v>PROV_NOM CLIENT</v>
      </c>
      <c r="D57" s="215">
        <v>6461004</v>
      </c>
      <c r="E57" s="98" t="str">
        <f t="shared" si="4"/>
        <v>PROV CADRAGE DE NOM CLIENT</v>
      </c>
      <c r="F57" s="98"/>
      <c r="G57" s="98">
        <f ca="1">IF(SUM(J30:J32)*$D$5/12&gt;SUM(K30:K32),(SUM(J30:J32)*$D$5/12-SUM(K30:K32)),0)</f>
        <v>436</v>
      </c>
      <c r="H57" s="98">
        <f ca="1">IF(SUM(K30:K32)&gt;SUM(J30:J32)*$D$5/12,SUM(K30:K32)-SUM(J30:J32)*$D$5/12,0)</f>
        <v>0</v>
      </c>
      <c r="I57" s="2" t="s">
        <v>11</v>
      </c>
      <c r="J57" s="2"/>
      <c r="K57" s="2"/>
      <c r="L57" s="2"/>
      <c r="M57" s="2"/>
      <c r="N57" s="2"/>
    </row>
    <row r="58" spans="1:14" x14ac:dyDescent="0.3">
      <c r="A58" s="4"/>
      <c r="B58" s="97">
        <f t="shared" si="2"/>
        <v>46387</v>
      </c>
      <c r="C58" s="98" t="str">
        <f t="shared" si="3"/>
        <v>PROV_NOM CLIENT</v>
      </c>
      <c r="D58" s="215">
        <v>6461005</v>
      </c>
      <c r="E58" s="98" t="str">
        <f t="shared" si="4"/>
        <v>PROV CADRAGE DE NOM CLIENT</v>
      </c>
      <c r="F58" s="98"/>
      <c r="G58" s="98">
        <f ca="1">IF(SUM(J37:J37)*$D$5/12&gt;SUM(K37:K37),(SUM(J37:J37)*$D$5/12-SUM(K37:K37)),0)</f>
        <v>167</v>
      </c>
      <c r="H58" s="98">
        <f ca="1">IF(SUM(K37:K37)&gt;SUM(J37:J37)*$D$5/12,SUM(K37:K37)-SUM(J37:J37)*$D$5/12,0)</f>
        <v>0</v>
      </c>
      <c r="I58" s="2" t="s">
        <v>65</v>
      </c>
      <c r="J58" s="2"/>
      <c r="K58" s="2"/>
      <c r="L58" s="2"/>
      <c r="M58" s="2"/>
      <c r="N58" s="2"/>
    </row>
    <row r="59" spans="1:14" x14ac:dyDescent="0.3">
      <c r="A59" s="4"/>
      <c r="B59" s="100">
        <f t="shared" si="2"/>
        <v>46387</v>
      </c>
      <c r="C59" s="101" t="str">
        <f t="shared" si="3"/>
        <v>PROV_NOM CLIENT</v>
      </c>
      <c r="D59" s="216">
        <v>6462001</v>
      </c>
      <c r="E59" s="101" t="str">
        <f t="shared" si="4"/>
        <v>PROV CADRAGE DE NOM CLIENT</v>
      </c>
      <c r="F59" s="101"/>
      <c r="G59" s="101">
        <f ca="1">IF(SUM(J33:J34)*$D$5/12&gt;SUM(K33:K34),(SUM(J33:J34)*$D$5/12-SUM(K33:K34)),0)</f>
        <v>2391</v>
      </c>
      <c r="H59" s="101">
        <f ca="1">IF(SUM(K33:K34)&gt;SUM(J33:J34)*$D$5/12,SUM(K33:K34)-SUM(J33:J34)*$D$5/12,0)</f>
        <v>0</v>
      </c>
      <c r="I59" s="2" t="s">
        <v>13</v>
      </c>
      <c r="J59" s="2"/>
      <c r="K59" s="2"/>
      <c r="L59" s="2"/>
      <c r="M59" s="2"/>
      <c r="N59" s="2"/>
    </row>
    <row r="60" spans="1:14" x14ac:dyDescent="0.3">
      <c r="A60" s="4"/>
      <c r="B60" s="100">
        <f t="shared" si="2"/>
        <v>46387</v>
      </c>
      <c r="C60" s="101" t="str">
        <f t="shared" si="3"/>
        <v>PROV_NOM CLIENT</v>
      </c>
      <c r="D60" s="216">
        <v>6462002</v>
      </c>
      <c r="E60" s="101" t="str">
        <f t="shared" si="4"/>
        <v>PROV CADRAGE DE NOM CLIENT</v>
      </c>
      <c r="F60" s="101"/>
      <c r="G60" s="101">
        <f ca="1">IF(SUM(J35:J36)*$D$5/12&gt;SUM(K35:K36),(SUM(J35:J36)*$D$5/12-SUM(K35:K36)),0)</f>
        <v>0</v>
      </c>
      <c r="H60" s="101">
        <f ca="1">IF(SUM(K35:K36)&gt;SUM(J35:J36)*$D$5/12,SUM(K35:K36)-SUM(J35:J36)*$D$5/12,0)</f>
        <v>2293</v>
      </c>
      <c r="I60" s="2" t="s">
        <v>14</v>
      </c>
      <c r="J60" s="2"/>
      <c r="K60" s="2"/>
      <c r="L60" s="2"/>
      <c r="M60" s="2"/>
      <c r="N60" s="2"/>
    </row>
    <row r="61" spans="1:14" x14ac:dyDescent="0.3">
      <c r="A61" s="4"/>
      <c r="B61" s="94">
        <f t="shared" si="2"/>
        <v>46387</v>
      </c>
      <c r="C61" s="7" t="str">
        <f t="shared" si="3"/>
        <v>PROV_NOM CLIENT</v>
      </c>
      <c r="D61" s="217">
        <v>6333000</v>
      </c>
      <c r="E61" s="7" t="str">
        <f t="shared" si="4"/>
        <v>PROV CADRAGE DE NOM CLIENT</v>
      </c>
      <c r="F61" s="7"/>
      <c r="G61" s="7">
        <f>IF(SUM(J39:J39)*$D$5/12&gt;SUM(K39:K39),(SUM(J39:J39)*$D$5/12-SUM(K39:K39)),0)</f>
        <v>2</v>
      </c>
      <c r="H61" s="7">
        <f>IF(SUM(K39:K39)&gt;SUM(J39:J39)*$D$5/12,SUM(K39:K39)-SUM(J39:J39)*$D$5/12,0)</f>
        <v>0</v>
      </c>
      <c r="I61" s="2" t="s">
        <v>66</v>
      </c>
      <c r="J61" s="2"/>
      <c r="K61" s="2"/>
      <c r="L61" s="2"/>
      <c r="M61" s="2"/>
      <c r="N61" s="2"/>
    </row>
    <row r="62" spans="1:14" x14ac:dyDescent="0.3">
      <c r="A62" s="4"/>
      <c r="B62" s="94">
        <f t="shared" si="2"/>
        <v>46387</v>
      </c>
      <c r="C62" s="7" t="str">
        <f t="shared" si="3"/>
        <v>PROV_NOM CLIENT</v>
      </c>
      <c r="D62" s="217">
        <v>6371000</v>
      </c>
      <c r="E62" s="7" t="str">
        <f t="shared" si="4"/>
        <v>PROV CADRAGE DE NOM CLIENT</v>
      </c>
      <c r="F62" s="7"/>
      <c r="G62" s="7">
        <f ca="1">IF(SUM(J42:J42)*$D$5/12&gt;SUM(K42:K42),(SUM(J42:J42)*$D$5/12-SUM(K42:K42)),0)</f>
        <v>490</v>
      </c>
      <c r="H62" s="7">
        <f ca="1">IF(SUM(K42:K42)&gt;SUM(J42:J42)*$D$5/12,SUM(K42:K42)-SUM(J42:J42)*$D$5/12,0)</f>
        <v>0</v>
      </c>
      <c r="I62" s="2" t="s">
        <v>27</v>
      </c>
      <c r="J62" s="2"/>
      <c r="K62" s="2"/>
      <c r="L62" s="2"/>
      <c r="M62" s="2"/>
      <c r="N62" s="2"/>
    </row>
    <row r="63" spans="1:14" x14ac:dyDescent="0.3">
      <c r="A63" s="4"/>
      <c r="B63" s="94">
        <f t="shared" si="2"/>
        <v>46387</v>
      </c>
      <c r="C63" s="7" t="str">
        <f t="shared" si="3"/>
        <v>PROV_NOM CLIENT</v>
      </c>
      <c r="D63" s="217">
        <f>IF(H45="Rémunération",6440000,6372000)</f>
        <v>6440000</v>
      </c>
      <c r="E63" s="7" t="str">
        <f t="shared" si="4"/>
        <v>PROV CADRAGE DE NOM CLIENT</v>
      </c>
      <c r="F63" s="7"/>
      <c r="G63" s="7">
        <f ca="1">IF(SUM(J45:J45)*$D$5/12&gt;SUM(K45:K45),(SUM(J45:J45)*$D$5/12-SUM(K45:K45)),0)</f>
        <v>209</v>
      </c>
      <c r="H63" s="7">
        <f ca="1">IF(SUM(K45:K45)&gt;SUM(J45:J45)*$D$5/12,SUM(K45:K45)-SUM(J45:J45)*$D$5/12,0)</f>
        <v>0</v>
      </c>
      <c r="I63" s="2" t="s">
        <v>67</v>
      </c>
      <c r="J63" s="2"/>
      <c r="K63" s="96" t="str">
        <f ca="1">IF(AND(G63&gt;0,$H$45&lt;&gt;"Rémunération"),"A réintégrer fiscalement !",IF(AND(H63&gt;0,$H$45&lt;&gt;"Rémunération"),"A déduire fiscalement !",""))</f>
        <v/>
      </c>
      <c r="L63" s="2"/>
      <c r="M63" s="2"/>
      <c r="N63" s="2"/>
    </row>
    <row r="64" spans="1:14" ht="15" customHeight="1" x14ac:dyDescent="0.3">
      <c r="A64" s="4"/>
      <c r="B64" s="94">
        <f t="shared" si="2"/>
        <v>46387</v>
      </c>
      <c r="C64" s="7" t="str">
        <f t="shared" si="3"/>
        <v>PROV_NOM CLIENT</v>
      </c>
      <c r="D64" s="217">
        <v>4386000</v>
      </c>
      <c r="E64" s="7" t="str">
        <f t="shared" si="4"/>
        <v>PROV CADRAGE DE NOM CLIENT</v>
      </c>
      <c r="F64" s="7"/>
      <c r="G64" s="95"/>
      <c r="H64" s="7">
        <f ca="1">IF(SUM(G54:G63)&gt;SUM(H54:H63),SUM(G54:G63)-SUM(H54:H63),0)</f>
        <v>0</v>
      </c>
      <c r="I64" s="2" t="s">
        <v>72</v>
      </c>
      <c r="J64" s="2"/>
      <c r="K64" s="2"/>
      <c r="L64" s="2"/>
      <c r="M64" s="2"/>
      <c r="N64" s="2"/>
    </row>
    <row r="65" spans="1:14" x14ac:dyDescent="0.3">
      <c r="A65" s="4"/>
      <c r="B65" s="94">
        <f t="shared" si="2"/>
        <v>46387</v>
      </c>
      <c r="C65" s="7" t="str">
        <f t="shared" si="3"/>
        <v>PROV_NOM CLIENT</v>
      </c>
      <c r="D65" s="217">
        <v>4387000</v>
      </c>
      <c r="E65" s="7" t="str">
        <f t="shared" si="4"/>
        <v>PROV CADRAGE DE NOM CLIENT</v>
      </c>
      <c r="F65" s="7"/>
      <c r="G65" s="7">
        <f ca="1">IF(SUM(H54:H63)&gt;SUM(G54:G63),SUM(H54:H63)-SUM(G54:G63),0)</f>
        <v>174</v>
      </c>
      <c r="H65" s="95"/>
      <c r="I65" s="2" t="s">
        <v>73</v>
      </c>
      <c r="J65" s="2"/>
      <c r="K65" s="2"/>
      <c r="L65" s="2"/>
      <c r="M65" s="2"/>
      <c r="N65" s="2"/>
    </row>
    <row r="66" spans="1:14" x14ac:dyDescent="0.3">
      <c r="A66" s="4"/>
      <c r="B66" s="185" t="s">
        <v>28</v>
      </c>
      <c r="C66" s="186"/>
      <c r="D66" s="186"/>
      <c r="E66" s="186"/>
      <c r="F66" s="187"/>
      <c r="G66" s="8">
        <f ca="1">SUBTOTAL(9,G54:G65)</f>
        <v>3869</v>
      </c>
      <c r="H66" s="8">
        <f ca="1">SUBTOTAL(9,H54:H65)</f>
        <v>3869</v>
      </c>
      <c r="I66" s="2" t="s">
        <v>75</v>
      </c>
      <c r="J66" s="4">
        <f ca="1">$J$48/(12/$D$5)-$K$48-H64+G65</f>
        <v>0</v>
      </c>
      <c r="K66" s="2"/>
      <c r="L66" s="11"/>
      <c r="M66" s="2"/>
      <c r="N66" s="2"/>
    </row>
    <row r="67" spans="1:14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1:14" x14ac:dyDescent="0.3">
      <c r="A68" s="4"/>
      <c r="B68" s="1" t="s">
        <v>77</v>
      </c>
      <c r="C68" s="2"/>
      <c r="D68" s="2"/>
      <c r="E68" s="2"/>
      <c r="F68" s="2"/>
      <c r="G68" s="2"/>
      <c r="H68" s="2"/>
      <c r="I68" s="2"/>
      <c r="J68" s="2"/>
      <c r="K68" s="2"/>
      <c r="L68" s="11"/>
      <c r="M68" s="11"/>
      <c r="N68" s="2"/>
    </row>
    <row r="69" spans="1:14" x14ac:dyDescent="0.3">
      <c r="A69" s="4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14" x14ac:dyDescent="0.3">
      <c r="A70" s="4"/>
      <c r="B70" s="5" t="s">
        <v>20</v>
      </c>
      <c r="C70" s="5" t="s">
        <v>21</v>
      </c>
      <c r="D70" s="5" t="s">
        <v>22</v>
      </c>
      <c r="E70" s="5" t="s">
        <v>23</v>
      </c>
      <c r="F70" s="6" t="s">
        <v>24</v>
      </c>
      <c r="G70" s="5" t="s">
        <v>25</v>
      </c>
      <c r="H70" s="5" t="s">
        <v>26</v>
      </c>
      <c r="I70" s="2"/>
      <c r="J70" s="2"/>
      <c r="K70" s="2"/>
      <c r="L70" s="2"/>
      <c r="M70" s="2"/>
      <c r="N70" s="2"/>
    </row>
    <row r="71" spans="1:14" x14ac:dyDescent="0.3">
      <c r="A71" s="4"/>
      <c r="B71" s="97">
        <f t="shared" ref="B71:B77" si="5">$M$2</f>
        <v>46387</v>
      </c>
      <c r="C71" s="98" t="str">
        <f t="shared" ref="C71:C77" si="6">"PROV_"&amp;$J$2&amp;""</f>
        <v>PROV_NOM CLIENT</v>
      </c>
      <c r="D71" s="99">
        <v>6461001</v>
      </c>
      <c r="E71" s="98" t="str">
        <f t="shared" ref="E71:E77" si="7">"PROV CADRAGE DE "&amp;$J$2</f>
        <v>PROV CADRAGE DE NOM CLIENT</v>
      </c>
      <c r="F71" s="98"/>
      <c r="G71" s="98">
        <f ca="1">SUM(G54:G58)</f>
        <v>603</v>
      </c>
      <c r="H71" s="98">
        <f ca="1">SUM(H54:H58)</f>
        <v>1576</v>
      </c>
      <c r="I71" s="2" t="s">
        <v>76</v>
      </c>
      <c r="J71" s="2"/>
      <c r="K71" s="2"/>
      <c r="L71" s="2"/>
      <c r="M71" s="2"/>
      <c r="N71" s="2"/>
    </row>
    <row r="72" spans="1:14" x14ac:dyDescent="0.3">
      <c r="A72" s="4"/>
      <c r="B72" s="100">
        <f t="shared" si="5"/>
        <v>46387</v>
      </c>
      <c r="C72" s="101" t="str">
        <f t="shared" si="6"/>
        <v>PROV_NOM CLIENT</v>
      </c>
      <c r="D72" s="102">
        <v>6462001</v>
      </c>
      <c r="E72" s="101" t="str">
        <f t="shared" si="7"/>
        <v>PROV CADRAGE DE NOM CLIENT</v>
      </c>
      <c r="F72" s="101"/>
      <c r="G72" s="101">
        <f ca="1">SUM(G59:G60)</f>
        <v>2391</v>
      </c>
      <c r="H72" s="101">
        <f ca="1">SUM(H59:H60)</f>
        <v>2293</v>
      </c>
      <c r="I72" s="2" t="s">
        <v>13</v>
      </c>
      <c r="J72" s="2"/>
      <c r="K72" s="2"/>
      <c r="L72" s="2"/>
      <c r="M72" s="2"/>
      <c r="N72" s="2"/>
    </row>
    <row r="73" spans="1:14" x14ac:dyDescent="0.3">
      <c r="A73" s="4"/>
      <c r="B73" s="94">
        <f t="shared" si="5"/>
        <v>46387</v>
      </c>
      <c r="C73" s="7" t="str">
        <f t="shared" si="6"/>
        <v>PROV_NOM CLIENT</v>
      </c>
      <c r="D73" s="93">
        <v>6333000</v>
      </c>
      <c r="E73" s="7" t="str">
        <f t="shared" si="7"/>
        <v>PROV CADRAGE DE NOM CLIENT</v>
      </c>
      <c r="F73" s="7"/>
      <c r="G73" s="7">
        <f t="shared" ref="G73:H75" si="8">G61</f>
        <v>2</v>
      </c>
      <c r="H73" s="7">
        <f t="shared" si="8"/>
        <v>0</v>
      </c>
      <c r="I73" s="2" t="s">
        <v>66</v>
      </c>
      <c r="J73" s="2"/>
      <c r="K73" s="2"/>
      <c r="L73" s="2"/>
      <c r="M73" s="2"/>
      <c r="N73" s="2"/>
    </row>
    <row r="74" spans="1:14" x14ac:dyDescent="0.3">
      <c r="A74" s="4"/>
      <c r="B74" s="94">
        <f t="shared" si="5"/>
        <v>46387</v>
      </c>
      <c r="C74" s="7" t="str">
        <f t="shared" si="6"/>
        <v>PROV_NOM CLIENT</v>
      </c>
      <c r="D74" s="93">
        <v>6371000</v>
      </c>
      <c r="E74" s="7" t="str">
        <f t="shared" si="7"/>
        <v>PROV CADRAGE DE NOM CLIENT</v>
      </c>
      <c r="F74" s="7"/>
      <c r="G74" s="7">
        <f t="shared" ca="1" si="8"/>
        <v>490</v>
      </c>
      <c r="H74" s="7">
        <f t="shared" ca="1" si="8"/>
        <v>0</v>
      </c>
      <c r="I74" s="2" t="s">
        <v>27</v>
      </c>
      <c r="J74" s="2"/>
      <c r="K74" s="2"/>
      <c r="L74" s="2"/>
      <c r="M74" s="2"/>
      <c r="N74" s="2"/>
    </row>
    <row r="75" spans="1:14" x14ac:dyDescent="0.3">
      <c r="A75" s="4"/>
      <c r="B75" s="94">
        <f t="shared" si="5"/>
        <v>46387</v>
      </c>
      <c r="C75" s="7" t="str">
        <f t="shared" si="6"/>
        <v>PROV_NOM CLIENT</v>
      </c>
      <c r="D75" s="93">
        <f ca="1">IF(H62="Rémunération",6440000,6372000)</f>
        <v>6372000</v>
      </c>
      <c r="E75" s="7" t="str">
        <f t="shared" si="7"/>
        <v>PROV CADRAGE DE NOM CLIENT</v>
      </c>
      <c r="F75" s="7"/>
      <c r="G75" s="7">
        <f t="shared" ca="1" si="8"/>
        <v>209</v>
      </c>
      <c r="H75" s="7">
        <f t="shared" ca="1" si="8"/>
        <v>0</v>
      </c>
      <c r="I75" s="2" t="s">
        <v>67</v>
      </c>
      <c r="J75" s="2"/>
      <c r="K75" s="96" t="str">
        <f ca="1">IF(AND(G75&gt;0,$H$45&lt;&gt;"Rémunération"),"A réintégrer fiscalement !",IF(AND(H75&gt;0,$H$45&lt;&gt;"Rémunération"),"A déduire fiscalement !",""))</f>
        <v/>
      </c>
      <c r="L75" s="2"/>
      <c r="M75" s="2"/>
      <c r="N75" s="2"/>
    </row>
    <row r="76" spans="1:14" x14ac:dyDescent="0.3">
      <c r="A76" s="4"/>
      <c r="B76" s="94">
        <f t="shared" si="5"/>
        <v>46387</v>
      </c>
      <c r="C76" s="7" t="str">
        <f t="shared" si="6"/>
        <v>PROV_NOM CLIENT</v>
      </c>
      <c r="D76" s="93">
        <v>4386000</v>
      </c>
      <c r="E76" s="7" t="str">
        <f t="shared" si="7"/>
        <v>PROV CADRAGE DE NOM CLIENT</v>
      </c>
      <c r="F76" s="7"/>
      <c r="G76" s="95"/>
      <c r="H76" s="7">
        <f ca="1">H64</f>
        <v>0</v>
      </c>
      <c r="I76" s="2" t="s">
        <v>72</v>
      </c>
      <c r="J76" s="2"/>
      <c r="K76" s="2"/>
      <c r="L76" s="2"/>
      <c r="M76" s="2"/>
      <c r="N76" s="2"/>
    </row>
    <row r="77" spans="1:14" x14ac:dyDescent="0.3">
      <c r="A77" s="4"/>
      <c r="B77" s="94">
        <f t="shared" si="5"/>
        <v>46387</v>
      </c>
      <c r="C77" s="7" t="str">
        <f t="shared" si="6"/>
        <v>PROV_NOM CLIENT</v>
      </c>
      <c r="D77" s="93">
        <v>4387000</v>
      </c>
      <c r="E77" s="7" t="str">
        <f t="shared" si="7"/>
        <v>PROV CADRAGE DE NOM CLIENT</v>
      </c>
      <c r="F77" s="7"/>
      <c r="G77" s="7">
        <f ca="1">G65</f>
        <v>174</v>
      </c>
      <c r="H77" s="95"/>
      <c r="I77" s="2" t="s">
        <v>73</v>
      </c>
      <c r="J77" s="2"/>
      <c r="K77" s="2"/>
      <c r="L77" s="2"/>
      <c r="M77" s="2"/>
      <c r="N77" s="2"/>
    </row>
    <row r="78" spans="1:14" x14ac:dyDescent="0.3">
      <c r="A78" s="4"/>
      <c r="B78" s="185" t="s">
        <v>28</v>
      </c>
      <c r="C78" s="186"/>
      <c r="D78" s="186"/>
      <c r="E78" s="186"/>
      <c r="F78" s="187"/>
      <c r="G78" s="8">
        <f ca="1">SUBTOTAL(9,G71:G77)</f>
        <v>3869</v>
      </c>
      <c r="H78" s="8">
        <f ca="1">SUBTOTAL(9,H71:H77)</f>
        <v>3869</v>
      </c>
      <c r="I78" s="2" t="s">
        <v>75</v>
      </c>
      <c r="J78" s="4">
        <f ca="1">$J$48/(12/$D$5)-$K$48-H76+G77</f>
        <v>0</v>
      </c>
      <c r="K78" s="2"/>
      <c r="L78" s="2"/>
      <c r="M78" s="2"/>
      <c r="N78" s="2"/>
    </row>
    <row r="79" spans="1:14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</sheetData>
  <sheetProtection algorithmName="SHA-512" hashValue="bmfVptM7gIo/UlkE2rrGGG5yMg5kFVWlzwqZ1flh5OAw15paV3//zMMAOuOSY+5LQn37ZTP9+522ElsZSFTxjw==" saltValue="xmW7SCFvJZKbT2RsQzbjwQ==" spinCount="100000" sheet="1" objects="1" scenarios="1"/>
  <mergeCells count="70">
    <mergeCell ref="K13:K14"/>
    <mergeCell ref="B66:F66"/>
    <mergeCell ref="B78:F78"/>
    <mergeCell ref="J2:K2"/>
    <mergeCell ref="B5:C5"/>
    <mergeCell ref="D5:E5"/>
    <mergeCell ref="G2:H2"/>
    <mergeCell ref="B16:C16"/>
    <mergeCell ref="B15:C15"/>
    <mergeCell ref="D15:E15"/>
    <mergeCell ref="D16:E16"/>
    <mergeCell ref="B6:C6"/>
    <mergeCell ref="D6:E6"/>
    <mergeCell ref="D14:E14"/>
    <mergeCell ref="B10:C10"/>
    <mergeCell ref="D10:E10"/>
    <mergeCell ref="B4:C4"/>
    <mergeCell ref="D4:E4"/>
    <mergeCell ref="J13:J14"/>
    <mergeCell ref="B9:C9"/>
    <mergeCell ref="D9:E9"/>
    <mergeCell ref="B11:C11"/>
    <mergeCell ref="D11:E11"/>
    <mergeCell ref="B12:C12"/>
    <mergeCell ref="D12:E12"/>
    <mergeCell ref="B13:C13"/>
    <mergeCell ref="D13:E13"/>
    <mergeCell ref="B8:C8"/>
    <mergeCell ref="D8:E8"/>
    <mergeCell ref="B14:C14"/>
    <mergeCell ref="F14:H15"/>
    <mergeCell ref="D7:E7"/>
    <mergeCell ref="B17:C17"/>
    <mergeCell ref="D17:E17"/>
    <mergeCell ref="C19:F19"/>
    <mergeCell ref="C24:F24"/>
    <mergeCell ref="B25:B28"/>
    <mergeCell ref="C25:F25"/>
    <mergeCell ref="C26:F26"/>
    <mergeCell ref="C27:F27"/>
    <mergeCell ref="C28:F28"/>
    <mergeCell ref="B20:B24"/>
    <mergeCell ref="C20:F20"/>
    <mergeCell ref="C21:F21"/>
    <mergeCell ref="C22:F22"/>
    <mergeCell ref="C23:F23"/>
    <mergeCell ref="B39:F39"/>
    <mergeCell ref="C29:F29"/>
    <mergeCell ref="B30:B32"/>
    <mergeCell ref="C30:F30"/>
    <mergeCell ref="C31:F31"/>
    <mergeCell ref="C32:F32"/>
    <mergeCell ref="B33:B34"/>
    <mergeCell ref="C33:F33"/>
    <mergeCell ref="C34:F34"/>
    <mergeCell ref="B35:B36"/>
    <mergeCell ref="C35:F35"/>
    <mergeCell ref="C36:F36"/>
    <mergeCell ref="C37:F37"/>
    <mergeCell ref="B38:I38"/>
    <mergeCell ref="B40:F40"/>
    <mergeCell ref="B43:F43"/>
    <mergeCell ref="B47:I47"/>
    <mergeCell ref="B48:I48"/>
    <mergeCell ref="B41:F41"/>
    <mergeCell ref="B44:F44"/>
    <mergeCell ref="B42:I42"/>
    <mergeCell ref="B46:I46"/>
    <mergeCell ref="B45:F45"/>
    <mergeCell ref="H45:I45"/>
  </mergeCells>
  <conditionalFormatting sqref="M7:M10">
    <cfRule type="cellIs" dxfId="1" priority="1" operator="greaterThan">
      <formula>0</formula>
    </cfRule>
    <cfRule type="cellIs" dxfId="0" priority="2" operator="lessThan">
      <formula>0</formula>
    </cfRule>
  </conditionalFormatting>
  <dataValidations count="5">
    <dataValidation type="custom" allowBlank="1" showInputMessage="1" showErrorMessage="1" sqref="D5:E6" xr:uid="{6113BD30-029F-4C32-B40A-15D31DDF1346}">
      <formula1>"_"</formula1>
    </dataValidation>
    <dataValidation type="list" allowBlank="1" showErrorMessage="1" sqref="D17:D18" xr:uid="{4B9E343B-FE6C-4612-948D-A6DA82B4543E}">
      <formula1>"1/ Commerçant,2/ Commerçant + conjoint collaborateur,3/ Artisan"</formula1>
    </dataValidation>
    <dataValidation type="list" allowBlank="1" showInputMessage="1" showErrorMessage="1" sqref="E2" xr:uid="{6CC3CC1B-006F-4EE4-A4CB-60541452C738}">
      <formula1>"IR,IS"</formula1>
    </dataValidation>
    <dataValidation type="list" allowBlank="1" showInputMessage="1" showErrorMessage="1" sqref="H45:I45" xr:uid="{CD5E2F8C-5BD2-4CF5-94AC-646E33BC7E92}">
      <formula1>"Réintégration fiscale,Rémunération"</formula1>
    </dataValidation>
    <dataValidation type="list" allowBlank="1" showInputMessage="1" showErrorMessage="1" sqref="C2" xr:uid="{65FAE1FF-7F74-42C0-B713-50698A47E4D7}">
      <formula1>"EI, SA, SAS, SARL,SCI"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01BBF-AC72-4CA2-8636-F13325C646C1}">
  <dimension ref="A1:O76"/>
  <sheetViews>
    <sheetView zoomScale="70" zoomScaleNormal="70" workbookViewId="0">
      <selection activeCell="L26" sqref="L26"/>
    </sheetView>
  </sheetViews>
  <sheetFormatPr baseColWidth="10" defaultColWidth="14.44140625" defaultRowHeight="13.8" x14ac:dyDescent="0.3"/>
  <cols>
    <col min="1" max="1" width="9" customWidth="1"/>
    <col min="2" max="2" width="23.6640625" customWidth="1"/>
    <col min="3" max="3" width="25.33203125" customWidth="1"/>
    <col min="6" max="6" width="24" customWidth="1"/>
    <col min="7" max="7" width="15.77734375" customWidth="1"/>
    <col min="8" max="8" width="16.88671875" customWidth="1"/>
    <col min="10" max="10" width="16.6640625" customWidth="1"/>
    <col min="12" max="12" width="17.109375" customWidth="1"/>
    <col min="13" max="13" width="14.44140625" customWidth="1"/>
  </cols>
  <sheetData>
    <row r="1" spans="1:15" ht="15" customHeight="1" thickBot="1" x14ac:dyDescent="0.35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1:15" ht="19.2" customHeight="1" thickBot="1" x14ac:dyDescent="0.35">
      <c r="A2" s="109"/>
      <c r="B2" s="27" t="s">
        <v>34</v>
      </c>
      <c r="C2" s="28" t="str">
        <f>NOM_CLIENT_NOUV_METH!C2</f>
        <v>SARL</v>
      </c>
      <c r="D2" s="29" t="s">
        <v>59</v>
      </c>
      <c r="E2" s="28" t="str">
        <f>NOM_CLIENT_NOUV_METH!E2</f>
        <v>IS</v>
      </c>
      <c r="F2" s="29" t="s">
        <v>29</v>
      </c>
      <c r="G2" s="188" t="str">
        <f>NOM_CLIENT_NOUV_METH!G2:H2</f>
        <v>NOM SOCIETE</v>
      </c>
      <c r="H2" s="189"/>
      <c r="I2" s="29" t="s">
        <v>30</v>
      </c>
      <c r="J2" s="188" t="str">
        <f>NOM_CLIENT_NOUV_METH!J2:K2</f>
        <v>NOM CLIENT</v>
      </c>
      <c r="K2" s="189"/>
      <c r="L2" s="29" t="s">
        <v>31</v>
      </c>
      <c r="M2" s="30">
        <f>NOM_CLIENT_NOUV_METH!M2</f>
        <v>46387</v>
      </c>
      <c r="N2" s="109"/>
    </row>
    <row r="3" spans="1:15" ht="15" customHeight="1" thickBot="1" x14ac:dyDescent="0.3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4" spans="1:15" ht="13.8" customHeight="1" x14ac:dyDescent="0.3">
      <c r="A4" s="109"/>
      <c r="B4" s="165" t="s">
        <v>35</v>
      </c>
      <c r="C4" s="166"/>
      <c r="D4" s="167">
        <f>NOM_CLIENT_NOUV_METH!D4:E4</f>
        <v>50000</v>
      </c>
      <c r="E4" s="168"/>
      <c r="F4" s="109"/>
      <c r="G4" s="122"/>
      <c r="H4" s="109"/>
      <c r="I4" s="109"/>
      <c r="J4" s="109"/>
      <c r="K4" s="109"/>
      <c r="L4" s="109"/>
      <c r="M4" s="109"/>
      <c r="N4" s="109"/>
      <c r="O4" s="10"/>
    </row>
    <row r="5" spans="1:15" ht="13.8" customHeight="1" x14ac:dyDescent="0.3">
      <c r="A5" s="109"/>
      <c r="B5" s="190" t="s">
        <v>36</v>
      </c>
      <c r="C5" s="191"/>
      <c r="D5" s="192">
        <f>MONTH(M2)</f>
        <v>12</v>
      </c>
      <c r="E5" s="193"/>
      <c r="F5" s="109"/>
      <c r="G5" s="109"/>
      <c r="H5" s="109"/>
      <c r="I5" s="109"/>
      <c r="J5" s="109"/>
      <c r="K5" s="109"/>
      <c r="L5" s="109"/>
      <c r="M5" s="109"/>
      <c r="N5" s="109"/>
      <c r="O5" s="10"/>
    </row>
    <row r="6" spans="1:15" ht="13.8" customHeight="1" x14ac:dyDescent="0.3">
      <c r="A6" s="109"/>
      <c r="B6" s="171" t="s">
        <v>79</v>
      </c>
      <c r="C6" s="172"/>
      <c r="D6" s="196">
        <f>D4/D5*12</f>
        <v>50000</v>
      </c>
      <c r="E6" s="197"/>
      <c r="F6" s="109" t="s">
        <v>78</v>
      </c>
      <c r="G6" s="109"/>
      <c r="H6" s="109"/>
      <c r="I6" s="109"/>
      <c r="J6" s="109"/>
      <c r="K6" s="109"/>
      <c r="L6" s="109"/>
      <c r="M6" s="109"/>
      <c r="N6" s="109"/>
      <c r="O6" s="10"/>
    </row>
    <row r="7" spans="1:15" ht="13.8" customHeight="1" x14ac:dyDescent="0.3">
      <c r="A7" s="109"/>
      <c r="B7" s="26" t="s">
        <v>80</v>
      </c>
      <c r="C7" s="3"/>
      <c r="D7" s="177">
        <f>NOM_CLIENT_NOUV_METH!D7:E7</f>
        <v>2500</v>
      </c>
      <c r="E7" s="174"/>
      <c r="F7" s="123"/>
      <c r="G7" s="109"/>
      <c r="H7" s="109"/>
      <c r="I7" s="109"/>
      <c r="J7" s="109"/>
      <c r="K7" s="109"/>
      <c r="L7" s="109"/>
      <c r="M7" s="109"/>
      <c r="N7" s="109"/>
      <c r="O7" s="10"/>
    </row>
    <row r="8" spans="1:15" ht="13.8" customHeight="1" x14ac:dyDescent="0.3">
      <c r="A8" s="109"/>
      <c r="B8" s="171" t="s">
        <v>19</v>
      </c>
      <c r="C8" s="178"/>
      <c r="D8" s="179">
        <f>IF(E2="IR",K46,0)</f>
        <v>0</v>
      </c>
      <c r="E8" s="180"/>
      <c r="F8" s="109" t="s">
        <v>63</v>
      </c>
      <c r="G8" s="109"/>
      <c r="H8" s="109"/>
      <c r="I8" s="109"/>
      <c r="J8" s="109"/>
      <c r="K8" s="109"/>
      <c r="L8" s="109"/>
      <c r="M8" s="109"/>
      <c r="N8" s="109"/>
      <c r="O8" s="10"/>
    </row>
    <row r="9" spans="1:15" ht="13.8" customHeight="1" x14ac:dyDescent="0.3">
      <c r="A9" s="109"/>
      <c r="B9" s="171" t="s">
        <v>56</v>
      </c>
      <c r="C9" s="172"/>
      <c r="D9" s="173">
        <f ca="1">J43</f>
        <v>7020</v>
      </c>
      <c r="E9" s="174"/>
      <c r="F9" s="109" t="s">
        <v>57</v>
      </c>
      <c r="G9" s="109"/>
      <c r="H9" s="114"/>
      <c r="I9" s="114"/>
      <c r="J9" s="109"/>
      <c r="K9" s="109"/>
      <c r="L9" s="109"/>
      <c r="M9" s="109"/>
      <c r="N9" s="109"/>
      <c r="O9" s="10"/>
    </row>
    <row r="10" spans="1:15" ht="13.8" customHeight="1" thickBot="1" x14ac:dyDescent="0.35">
      <c r="A10" s="109"/>
      <c r="B10" s="171" t="s">
        <v>1</v>
      </c>
      <c r="C10" s="172"/>
      <c r="D10" s="198">
        <f ca="1">J35</f>
        <v>17773</v>
      </c>
      <c r="E10" s="174"/>
      <c r="F10" s="109" t="s">
        <v>58</v>
      </c>
      <c r="G10" s="109"/>
      <c r="H10" s="109"/>
      <c r="I10" s="114"/>
      <c r="J10" s="109"/>
      <c r="K10" s="109"/>
      <c r="L10" s="109"/>
      <c r="M10" s="109"/>
      <c r="N10" s="109"/>
      <c r="O10" s="10"/>
    </row>
    <row r="11" spans="1:15" ht="13.8" customHeight="1" x14ac:dyDescent="0.3">
      <c r="A11" s="109"/>
      <c r="B11" s="176" t="s">
        <v>0</v>
      </c>
      <c r="C11" s="172"/>
      <c r="D11" s="177">
        <f ca="1">D6+D7+(D9*2.9/9.7)</f>
        <v>54598.762886597935</v>
      </c>
      <c r="E11" s="174"/>
      <c r="F11" s="109"/>
      <c r="G11" s="109"/>
      <c r="H11" s="109"/>
      <c r="I11" s="109"/>
      <c r="J11" s="169" t="s">
        <v>33</v>
      </c>
      <c r="K11" s="183">
        <f ca="1">J45/D6</f>
        <v>0.51282000000000005</v>
      </c>
      <c r="L11" s="109"/>
      <c r="M11" s="109"/>
      <c r="N11" s="109"/>
      <c r="O11" s="10"/>
    </row>
    <row r="12" spans="1:15" ht="13.8" customHeight="1" thickBot="1" x14ac:dyDescent="0.35">
      <c r="A12" s="109"/>
      <c r="B12" s="171" t="s">
        <v>47</v>
      </c>
      <c r="C12" s="172"/>
      <c r="D12" s="194">
        <v>3541</v>
      </c>
      <c r="E12" s="195"/>
      <c r="F12" s="199" t="s">
        <v>50</v>
      </c>
      <c r="G12" s="200"/>
      <c r="H12" s="200"/>
      <c r="I12" s="109"/>
      <c r="J12" s="170"/>
      <c r="K12" s="184"/>
      <c r="L12" s="109"/>
      <c r="M12" s="109"/>
      <c r="N12" s="109"/>
      <c r="O12" s="10"/>
    </row>
    <row r="13" spans="1:15" ht="13.8" customHeight="1" thickBot="1" x14ac:dyDescent="0.35">
      <c r="A13" s="109"/>
      <c r="B13" s="171" t="s">
        <v>48</v>
      </c>
      <c r="C13" s="172"/>
      <c r="D13" s="194">
        <v>3768</v>
      </c>
      <c r="E13" s="195"/>
      <c r="F13" s="199"/>
      <c r="G13" s="200"/>
      <c r="H13" s="200"/>
      <c r="I13" s="109"/>
      <c r="J13" s="109"/>
      <c r="K13" s="109"/>
      <c r="L13" s="109"/>
      <c r="M13" s="109"/>
      <c r="N13" s="109"/>
      <c r="O13" s="10"/>
    </row>
    <row r="14" spans="1:15" ht="13.8" customHeight="1" thickBot="1" x14ac:dyDescent="0.35">
      <c r="A14" s="109"/>
      <c r="B14" s="152" t="s">
        <v>2</v>
      </c>
      <c r="C14" s="153"/>
      <c r="D14" s="154" t="str">
        <f>NOM_CLIENT_NOUV_METH!D17</f>
        <v>3/ Artisan</v>
      </c>
      <c r="E14" s="155"/>
      <c r="F14" s="109"/>
      <c r="G14" s="109"/>
      <c r="H14" s="109"/>
      <c r="I14" s="109"/>
      <c r="J14" s="31" t="str">
        <f>NOM_CLIENT_NOUV_METH!J16</f>
        <v>PASS 2026</v>
      </c>
      <c r="K14" s="32">
        <f>NOM_CLIENT_NOUV_METH!K16</f>
        <v>48060</v>
      </c>
      <c r="L14" s="109"/>
      <c r="M14" s="109"/>
      <c r="N14" s="109"/>
    </row>
    <row r="15" spans="1:15" ht="14.4" thickBot="1" x14ac:dyDescent="0.35">
      <c r="A15" s="109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10"/>
    </row>
    <row r="16" spans="1:15" ht="40.200000000000003" thickBot="1" x14ac:dyDescent="0.35">
      <c r="A16" s="109"/>
      <c r="B16" s="22" t="s">
        <v>3</v>
      </c>
      <c r="C16" s="156" t="s">
        <v>4</v>
      </c>
      <c r="D16" s="156"/>
      <c r="E16" s="156"/>
      <c r="F16" s="156"/>
      <c r="G16" s="23" t="s">
        <v>5</v>
      </c>
      <c r="H16" s="23" t="s">
        <v>6</v>
      </c>
      <c r="I16" s="24" t="s">
        <v>7</v>
      </c>
      <c r="J16" s="24" t="s">
        <v>8</v>
      </c>
      <c r="K16" s="25" t="str">
        <f>"Provision URSSAF de "&amp;J2&amp;" :"</f>
        <v>Provision URSSAF de NOM CLIENT :</v>
      </c>
      <c r="L16" s="109"/>
      <c r="M16" s="111"/>
      <c r="N16" s="111"/>
    </row>
    <row r="17" spans="1:14" ht="13.2" customHeight="1" x14ac:dyDescent="0.3">
      <c r="A17" s="109"/>
      <c r="B17" s="148" t="s">
        <v>9</v>
      </c>
      <c r="C17" s="145" t="str">
        <f>"Revenu professionnel inférieur à "&amp;ROUND($K$14*0.2,0)&amp;" € (20% du PASS)"</f>
        <v>Revenu professionnel inférieur à 9612 € (20% du PASS)</v>
      </c>
      <c r="D17" s="145"/>
      <c r="E17" s="145"/>
      <c r="F17" s="145"/>
      <c r="G17" s="38">
        <v>0</v>
      </c>
      <c r="H17" s="39">
        <f ca="1">ROUND(IF(D11&lt;K14*20%,K14*20%,0),0)</f>
        <v>0</v>
      </c>
      <c r="I17" s="40">
        <f>G17</f>
        <v>0</v>
      </c>
      <c r="J17" s="67">
        <f t="shared" ref="J17:J34" ca="1" si="0">ROUND(I17*H17,0)</f>
        <v>0</v>
      </c>
      <c r="K17" s="68"/>
      <c r="L17" s="109"/>
      <c r="M17" s="111"/>
      <c r="N17" s="111"/>
    </row>
    <row r="18" spans="1:14" ht="13.2" customHeight="1" x14ac:dyDescent="0.3">
      <c r="A18" s="109"/>
      <c r="B18" s="162"/>
      <c r="C18" s="146" t="str">
        <f>"Revenu professionnel compris entre "&amp;ROUND($K$14*20%,0)&amp;" € et "&amp;ROUND(K14*40%,0)&amp;" € (20% à 40% du PASS)"</f>
        <v>Revenu professionnel compris entre 9612 € et 19224 € (20% à 40% du PASS)</v>
      </c>
      <c r="D18" s="146"/>
      <c r="E18" s="146"/>
      <c r="F18" s="146"/>
      <c r="G18" s="41" t="s">
        <v>41</v>
      </c>
      <c r="H18" s="42">
        <f ca="1">IF(AND(D11&gt;=K14*20%,D11&lt;=K14*40%),D11,0)</f>
        <v>0</v>
      </c>
      <c r="I18" s="43">
        <f ca="1">IF($D$11&lt;$K$14*40%,IF(D11&gt;$K$14*20%-0.01,(D11-$K$14*20%)/($K$14*40%-$K$14*20%)*(1.5%-0%)+0%,0),0)</f>
        <v>0</v>
      </c>
      <c r="J18" s="69">
        <f t="shared" ca="1" si="0"/>
        <v>0</v>
      </c>
      <c r="K18" s="70"/>
      <c r="L18" s="109"/>
      <c r="M18" s="111"/>
      <c r="N18" s="111"/>
    </row>
    <row r="19" spans="1:14" ht="13.2" customHeight="1" x14ac:dyDescent="0.3">
      <c r="A19" s="109"/>
      <c r="B19" s="162"/>
      <c r="C19" s="164" t="str">
        <f>"Revenu professionnel compris entre "&amp;ROUND($K$14*40%,0)&amp;" € et "&amp;ROUND(K14*60%,0)&amp;" € (40% à 60% du PASS)"</f>
        <v>Revenu professionnel compris entre 19224 € et 28836 € (40% à 60% du PASS)</v>
      </c>
      <c r="D19" s="164"/>
      <c r="E19" s="164"/>
      <c r="F19" s="164"/>
      <c r="G19" s="41" t="s">
        <v>42</v>
      </c>
      <c r="H19" s="44">
        <f ca="1">IF(AND(D11&gt;=K14*40%,D11&lt;=K14*60%),D11,0)</f>
        <v>0</v>
      </c>
      <c r="I19" s="45">
        <f ca="1">IF(D11&lt;K14*60%,IF(D11&gt;K14*40%-0.01,(D11-K14*40%)/(K14*60%-K14*40%)*(4%-1.5%)+0%,0),0)</f>
        <v>0</v>
      </c>
      <c r="J19" s="69">
        <f t="shared" ca="1" si="0"/>
        <v>0</v>
      </c>
      <c r="K19" s="70"/>
      <c r="L19" s="109"/>
      <c r="M19" s="111"/>
      <c r="N19" s="111"/>
    </row>
    <row r="20" spans="1:14" ht="13.2" customHeight="1" x14ac:dyDescent="0.3">
      <c r="A20" s="109"/>
      <c r="B20" s="162"/>
      <c r="C20" s="146" t="str">
        <f>"Revenu professionnel compris entre "&amp;ROUND($K$14*60%,0)&amp;" € et "&amp;ROUND(K14*110%,0)&amp;" € (60% à 110% du PASS)"</f>
        <v>Revenu professionnel compris entre 28836 € et 52866 € (60% à 110% du PASS)</v>
      </c>
      <c r="D20" s="146"/>
      <c r="E20" s="146"/>
      <c r="F20" s="146"/>
      <c r="G20" s="41" t="s">
        <v>43</v>
      </c>
      <c r="H20" s="42">
        <f ca="1">IF(D11&gt;K14*60%-0.01,IF(D11&lt;K14*110%,D11,0),0)</f>
        <v>0</v>
      </c>
      <c r="I20" s="43">
        <f ca="1">IF(D11&lt;K14*110%,IF(D11&gt;K14*60%-0.01,(D11-K14*60%)/(K14*110%-K14*60%)*(6.5%-4%)+4%,0),0)</f>
        <v>0</v>
      </c>
      <c r="J20" s="69">
        <f t="shared" ca="1" si="0"/>
        <v>0</v>
      </c>
      <c r="K20" s="70"/>
      <c r="L20" s="109"/>
      <c r="M20" s="109"/>
      <c r="N20" s="109"/>
    </row>
    <row r="21" spans="1:14" ht="13.2" customHeight="1" thickBot="1" x14ac:dyDescent="0.35">
      <c r="A21" s="109"/>
      <c r="B21" s="163"/>
      <c r="C21" s="157" t="str">
        <f>"Revenu professionnel compris entre "&amp;ROUND($K$14*110%,0)&amp;" € et "&amp;ROUND(K14*5,0)&amp;" € (110% à 5x le PASS)"</f>
        <v>Revenu professionnel compris entre 52866 € et 240300 € (110% à 5x le PASS)</v>
      </c>
      <c r="D21" s="157"/>
      <c r="E21" s="157"/>
      <c r="F21" s="157"/>
      <c r="G21" s="46">
        <v>6.5000000000000002E-2</v>
      </c>
      <c r="H21" s="47">
        <f ca="1">IF(D11&lt;K14*110%,0,IF(AND(D11&gt;=K14*110%,D11&lt;=K14*5),D11,K14*5))</f>
        <v>54598.762886597935</v>
      </c>
      <c r="I21" s="46">
        <f t="shared" ref="I21:I27" si="1">G21</f>
        <v>6.5000000000000002E-2</v>
      </c>
      <c r="J21" s="71">
        <f t="shared" ca="1" si="0"/>
        <v>3549</v>
      </c>
      <c r="K21" s="35">
        <v>5092</v>
      </c>
      <c r="L21" s="115"/>
      <c r="M21" s="109"/>
      <c r="N21" s="109"/>
    </row>
    <row r="22" spans="1:14" ht="13.2" customHeight="1" x14ac:dyDescent="0.3">
      <c r="A22" s="109"/>
      <c r="B22" s="158" t="s">
        <v>10</v>
      </c>
      <c r="C22" s="145" t="str">
        <f>"Revenu professionnel inférieur à "&amp;ROUND(K14*0.4,0)&amp;" € (40% du PASS)"</f>
        <v>Revenu professionnel inférieur à 19224 € (40% du PASS)</v>
      </c>
      <c r="D22" s="145"/>
      <c r="E22" s="145"/>
      <c r="F22" s="145"/>
      <c r="G22" s="49">
        <v>5.0000000000000001E-3</v>
      </c>
      <c r="H22" s="50">
        <f ca="1">ROUND(IF(D11&lt;K14*40%,K14*40%,0),0)</f>
        <v>0</v>
      </c>
      <c r="I22" s="51">
        <f t="shared" si="1"/>
        <v>5.0000000000000001E-3</v>
      </c>
      <c r="J22" s="72">
        <f t="shared" ca="1" si="0"/>
        <v>0</v>
      </c>
      <c r="K22" s="73"/>
      <c r="L22" s="109"/>
      <c r="M22" s="109"/>
      <c r="N22" s="109"/>
    </row>
    <row r="23" spans="1:14" ht="13.2" customHeight="1" x14ac:dyDescent="0.3">
      <c r="A23" s="109"/>
      <c r="B23" s="159"/>
      <c r="C23" s="146" t="str">
        <f>"Revenu professionnel compris entre "&amp;ROUND(K14*40%,0)&amp;" € et "&amp;ROUND(K14*60%,0)&amp;" € (40% à 60% du PASS)"</f>
        <v>Revenu professionnel compris entre 19224 € et 28836 € (40% à 60% du PASS)</v>
      </c>
      <c r="D23" s="146"/>
      <c r="E23" s="146"/>
      <c r="F23" s="146"/>
      <c r="G23" s="52">
        <v>5.0000000000000001E-3</v>
      </c>
      <c r="H23" s="53">
        <f ca="1">IF(AND(D11&gt;=K14*40%,D11&lt;=K14*60%),D11,0)</f>
        <v>0</v>
      </c>
      <c r="I23" s="54">
        <f t="shared" si="1"/>
        <v>5.0000000000000001E-3</v>
      </c>
      <c r="J23" s="74">
        <f t="shared" ca="1" si="0"/>
        <v>0</v>
      </c>
      <c r="K23" s="75"/>
      <c r="L23" s="109"/>
      <c r="M23" s="109"/>
      <c r="N23" s="109"/>
    </row>
    <row r="24" spans="1:14" ht="13.2" customHeight="1" x14ac:dyDescent="0.3">
      <c r="A24" s="109"/>
      <c r="B24" s="159"/>
      <c r="C24" s="160" t="str">
        <f>"Revenu professionnel compris entre "&amp;ROUND(K14*60%,0)&amp;" € et "&amp;ROUND(K14*110%,0)&amp;" € (60% à 110% du PASS)"</f>
        <v>Revenu professionnel compris entre 28836 € et 52866 € (60% à 110% du PASS)</v>
      </c>
      <c r="D24" s="160"/>
      <c r="E24" s="160"/>
      <c r="F24" s="160"/>
      <c r="G24" s="52">
        <v>5.0000000000000001E-3</v>
      </c>
      <c r="H24" s="55">
        <f ca="1">IF(D11&gt;K14*60%-0.01,IF(D11&lt;K14*110%,D11,0),0)</f>
        <v>0</v>
      </c>
      <c r="I24" s="56">
        <f t="shared" si="1"/>
        <v>5.0000000000000001E-3</v>
      </c>
      <c r="J24" s="76">
        <f t="shared" ca="1" si="0"/>
        <v>0</v>
      </c>
      <c r="K24" s="75"/>
      <c r="L24" s="115"/>
      <c r="M24" s="109"/>
      <c r="N24" s="109"/>
    </row>
    <row r="25" spans="1:14" ht="13.2" customHeight="1" thickBot="1" x14ac:dyDescent="0.35">
      <c r="A25" s="109"/>
      <c r="B25" s="159"/>
      <c r="C25" s="161" t="str">
        <f>"Revenu professionnel compris entre "&amp;ROUND(K14*110%,0)&amp;" € et "&amp;ROUND(K14*5,0)&amp;" € (110% à 5x le PASS)"</f>
        <v>Revenu professionnel compris entre 52866 € et 240300 € (110% à 5x le PASS)</v>
      </c>
      <c r="D25" s="161"/>
      <c r="E25" s="161"/>
      <c r="F25" s="161"/>
      <c r="G25" s="57">
        <v>5.0000000000000001E-3</v>
      </c>
      <c r="H25" s="58">
        <f ca="1">IF(D11&lt;K14*110%,0,IF(AND(D11&gt;=K14*110%,D11&lt;=K14*5),D11,K14*5))</f>
        <v>54598.762886597935</v>
      </c>
      <c r="I25" s="59">
        <f t="shared" si="1"/>
        <v>5.0000000000000001E-3</v>
      </c>
      <c r="J25" s="77">
        <f t="shared" ca="1" si="0"/>
        <v>273</v>
      </c>
      <c r="K25" s="78">
        <v>436</v>
      </c>
      <c r="L25" s="118"/>
      <c r="M25" s="109"/>
      <c r="N25" s="109"/>
    </row>
    <row r="26" spans="1:14" ht="13.2" customHeight="1" thickBot="1" x14ac:dyDescent="0.35">
      <c r="A26" s="109"/>
      <c r="B26" s="60" t="s">
        <v>37</v>
      </c>
      <c r="C26" s="141" t="str">
        <f>"Part de revenus suppérieurs à "&amp;ROUND(K14*5,0)&amp;" € (5x le PASS)"</f>
        <v>Part de revenus suppérieurs à 240300 € (5x le PASS)</v>
      </c>
      <c r="D26" s="141"/>
      <c r="E26" s="141"/>
      <c r="F26" s="141"/>
      <c r="G26" s="61">
        <v>6.5000000000000002E-2</v>
      </c>
      <c r="H26" s="62">
        <f ca="1">IF(D11&gt;K14*5,D11-K14*5,0)</f>
        <v>0</v>
      </c>
      <c r="I26" s="61">
        <f t="shared" si="1"/>
        <v>6.5000000000000002E-2</v>
      </c>
      <c r="J26" s="79">
        <f t="shared" ca="1" si="0"/>
        <v>0</v>
      </c>
      <c r="K26" s="80"/>
      <c r="L26" s="110"/>
      <c r="M26" s="109"/>
      <c r="N26" s="109"/>
    </row>
    <row r="27" spans="1:14" ht="13.2" customHeight="1" x14ac:dyDescent="0.3">
      <c r="A27" s="109"/>
      <c r="B27" s="142" t="s">
        <v>11</v>
      </c>
      <c r="C27" s="145" t="str">
        <f>"Revenu professionnel inférieur à "&amp;ROUND(K14*110%,0)&amp;" € (110 % du PASS)"</f>
        <v>Revenu professionnel inférieur à 52866 € (110 % du PASS)</v>
      </c>
      <c r="D27" s="145"/>
      <c r="E27" s="145"/>
      <c r="F27" s="145"/>
      <c r="G27" s="40">
        <v>0</v>
      </c>
      <c r="H27" s="39">
        <f ca="1">IF(D11&lt;=K14*110%,D11,0)</f>
        <v>0</v>
      </c>
      <c r="I27" s="40">
        <f t="shared" si="1"/>
        <v>0</v>
      </c>
      <c r="J27" s="67">
        <f ca="1">ROUND(I27*H27,0)</f>
        <v>0</v>
      </c>
      <c r="K27" s="68"/>
      <c r="L27" s="119"/>
      <c r="M27" s="109"/>
      <c r="N27" s="109"/>
    </row>
    <row r="28" spans="1:14" ht="13.2" customHeight="1" x14ac:dyDescent="0.3">
      <c r="A28" s="109"/>
      <c r="B28" s="143"/>
      <c r="C28" s="146" t="str">
        <f>"Revenu compris entre "&amp;ROUND(K14*110%,0)&amp;" € et "&amp;ROUND(K14*140%,0)&amp;" € (110 % et 140 % du PASS)"</f>
        <v>Revenu compris entre 52866 € et 67284 € (110 % et 140 % du PASS)</v>
      </c>
      <c r="D28" s="146"/>
      <c r="E28" s="146"/>
      <c r="F28" s="146"/>
      <c r="G28" s="63" t="s">
        <v>12</v>
      </c>
      <c r="H28" s="42">
        <f ca="1">IF(AND(D11&gt;=K14*110%,D11&lt;=K14*140%),D11,0)</f>
        <v>54598.762886597935</v>
      </c>
      <c r="I28" s="43">
        <f ca="1">IF(AND(D11&gt;K14*110%,D11&lt;K14*140%),((D11-K14*110%)/(K14*140%-K14*110%))*3.1%,0)</f>
        <v>3.7255964408750026E-3</v>
      </c>
      <c r="J28" s="69">
        <f t="shared" ca="1" si="0"/>
        <v>203</v>
      </c>
      <c r="K28" s="70"/>
      <c r="L28" s="118"/>
      <c r="M28" s="110"/>
      <c r="N28" s="110"/>
    </row>
    <row r="29" spans="1:14" ht="13.2" customHeight="1" thickBot="1" x14ac:dyDescent="0.35">
      <c r="A29" s="109"/>
      <c r="B29" s="144"/>
      <c r="C29" s="147" t="str">
        <f>"Revenu professionnel supérieur à "&amp;ROUND(K14*140%,0)&amp;" € (140 % du PASS)"</f>
        <v>Revenu professionnel supérieur à 67284 € (140 % du PASS)</v>
      </c>
      <c r="D29" s="147"/>
      <c r="E29" s="147"/>
      <c r="F29" s="147"/>
      <c r="G29" s="64">
        <v>3.1E-2</v>
      </c>
      <c r="H29" s="65">
        <f ca="1">IF(D11&gt;K14*140%,D11,0)</f>
        <v>0</v>
      </c>
      <c r="I29" s="64">
        <f>G29</f>
        <v>3.1E-2</v>
      </c>
      <c r="J29" s="81">
        <f t="shared" ca="1" si="0"/>
        <v>0</v>
      </c>
      <c r="K29" s="37"/>
      <c r="L29" s="115"/>
      <c r="M29" s="109"/>
      <c r="N29" s="109"/>
    </row>
    <row r="30" spans="1:14" ht="13.2" customHeight="1" x14ac:dyDescent="0.3">
      <c r="A30" s="109"/>
      <c r="B30" s="148" t="s">
        <v>13</v>
      </c>
      <c r="C30" s="145" t="str">
        <f>"Revenu dans la limite de "&amp;K14&amp;" € (1 PASS) (dont base min 11,5% du PASS soit "&amp;ROUND(K14*11.5%,0)&amp;" €)"</f>
        <v>Revenu dans la limite de 48060 € (1 PASS) (dont base min 11,5% du PASS soit 5527 €)</v>
      </c>
      <c r="D30" s="145"/>
      <c r="E30" s="145"/>
      <c r="F30" s="145"/>
      <c r="G30" s="40">
        <v>0.1787</v>
      </c>
      <c r="H30" s="39">
        <f ca="1">IF(D11&lt;K14*11.5%,K14*11.5%,IF(D11&gt;K14,K14,D11))</f>
        <v>48060</v>
      </c>
      <c r="I30" s="40">
        <f>G30</f>
        <v>0.1787</v>
      </c>
      <c r="J30" s="67">
        <f ca="1">ROUND(I30*H30,0)</f>
        <v>8588</v>
      </c>
      <c r="K30" s="68">
        <v>6257</v>
      </c>
      <c r="L30" s="109"/>
      <c r="M30" s="109"/>
      <c r="N30" s="109"/>
    </row>
    <row r="31" spans="1:14" ht="13.2" customHeight="1" thickBot="1" x14ac:dyDescent="0.35">
      <c r="A31" s="109"/>
      <c r="B31" s="149"/>
      <c r="C31" s="147" t="str">
        <f>"Revenu au-delà de "&amp;K14&amp;" € (1 PASS)"</f>
        <v>Revenu au-delà de 48060 € (1 PASS)</v>
      </c>
      <c r="D31" s="147"/>
      <c r="E31" s="147"/>
      <c r="F31" s="147"/>
      <c r="G31" s="64">
        <v>7.1999999999999998E-3</v>
      </c>
      <c r="H31" s="65">
        <f ca="1">IF(D11&gt;K14,D11-K14,0)</f>
        <v>6538.762886597935</v>
      </c>
      <c r="I31" s="64">
        <f>G31</f>
        <v>7.1999999999999998E-3</v>
      </c>
      <c r="J31" s="81">
        <f ca="1">ROUND(H31*I31,0)</f>
        <v>47</v>
      </c>
      <c r="K31" s="37"/>
      <c r="L31" s="109"/>
      <c r="M31" s="109"/>
      <c r="N31" s="109"/>
    </row>
    <row r="32" spans="1:14" ht="13.2" customHeight="1" x14ac:dyDescent="0.3">
      <c r="A32" s="109"/>
      <c r="B32" s="148" t="s">
        <v>14</v>
      </c>
      <c r="C32" s="145" t="str">
        <f>"Revenu dans la limite de "&amp;K14&amp; " €"</f>
        <v>Revenu dans la limite de 48060 €</v>
      </c>
      <c r="D32" s="145"/>
      <c r="E32" s="145"/>
      <c r="F32" s="145"/>
      <c r="G32" s="40">
        <v>8.1000000000000003E-2</v>
      </c>
      <c r="H32" s="39">
        <f ca="1">IF(D11&lt;K14,D11,K14)</f>
        <v>48060</v>
      </c>
      <c r="I32" s="40">
        <f>G32</f>
        <v>8.1000000000000003E-2</v>
      </c>
      <c r="J32" s="67">
        <f t="shared" ca="1" si="0"/>
        <v>3893</v>
      </c>
      <c r="K32" s="68">
        <v>3750</v>
      </c>
      <c r="L32" s="109"/>
      <c r="M32" s="109"/>
      <c r="N32" s="109"/>
    </row>
    <row r="33" spans="1:14" ht="13.2" customHeight="1" thickBot="1" x14ac:dyDescent="0.35">
      <c r="A33" s="109"/>
      <c r="B33" s="149"/>
      <c r="C33" s="147" t="str">
        <f>"Revenu compris entre " &amp; K14 &amp; "€ et "&amp;K14*4&amp;" € (4 PASS)"</f>
        <v>Revenu compris entre 48060€ et 192240 € (4 PASS)</v>
      </c>
      <c r="D33" s="147"/>
      <c r="E33" s="147"/>
      <c r="F33" s="147"/>
      <c r="G33" s="64">
        <v>9.0999999999999998E-2</v>
      </c>
      <c r="H33" s="65">
        <f ca="1">IF(D11&gt;K14,IF(D11&gt;K14*4,K14*4-K14,D11-K14),0)</f>
        <v>6538.762886597935</v>
      </c>
      <c r="I33" s="64">
        <f>G33</f>
        <v>9.0999999999999998E-2</v>
      </c>
      <c r="J33" s="81">
        <f t="shared" ca="1" si="0"/>
        <v>595</v>
      </c>
      <c r="K33" s="37">
        <v>3200</v>
      </c>
      <c r="L33" s="109"/>
      <c r="M33" s="109"/>
      <c r="N33" s="109"/>
    </row>
    <row r="34" spans="1:14" ht="13.2" customHeight="1" thickBot="1" x14ac:dyDescent="0.35">
      <c r="A34" s="109"/>
      <c r="B34" s="48" t="s">
        <v>15</v>
      </c>
      <c r="C34" s="141" t="str">
        <f>"Revenu dans la limite de "&amp;K14&amp;" €
(1 PASS) (dont base min 11,5% du PASS soit "&amp;ROUND(K14*11.5%,0)&amp;" €)"</f>
        <v>Revenu dans la limite de 48060 €
(1 PASS) (dont base min 11,5% du PASS soit 5527 €)</v>
      </c>
      <c r="D34" s="141"/>
      <c r="E34" s="141"/>
      <c r="F34" s="141"/>
      <c r="G34" s="61">
        <v>1.2999999999999999E-2</v>
      </c>
      <c r="H34" s="62">
        <f ca="1">IF(D11&lt;K14*11.5%+0.01,K14*11.5%,IF(D11&lt;K14+0.01,D11,K14))</f>
        <v>48060</v>
      </c>
      <c r="I34" s="61">
        <v>1.2999999999999999E-2</v>
      </c>
      <c r="J34" s="79">
        <f t="shared" ca="1" si="0"/>
        <v>625</v>
      </c>
      <c r="K34" s="80">
        <v>458</v>
      </c>
      <c r="L34" s="109"/>
      <c r="M34" s="109"/>
      <c r="N34" s="109"/>
    </row>
    <row r="35" spans="1:14" ht="13.2" customHeight="1" thickBot="1" x14ac:dyDescent="0.35">
      <c r="A35" s="109"/>
      <c r="B35" s="150" t="s">
        <v>16</v>
      </c>
      <c r="C35" s="151"/>
      <c r="D35" s="151"/>
      <c r="E35" s="151"/>
      <c r="F35" s="151"/>
      <c r="G35" s="151"/>
      <c r="H35" s="151"/>
      <c r="I35" s="151"/>
      <c r="J35" s="33">
        <f ca="1">SUM(J17:J34)</f>
        <v>17773</v>
      </c>
      <c r="K35" s="82">
        <f>SUM(K17:K34)</f>
        <v>19193</v>
      </c>
      <c r="L35" s="115"/>
      <c r="M35" s="115"/>
      <c r="N35" s="109"/>
    </row>
    <row r="36" spans="1:14" ht="13.2" customHeight="1" thickBot="1" x14ac:dyDescent="0.35">
      <c r="A36" s="109"/>
      <c r="B36" s="139" t="str">
        <f>"Contribution à la formation professionnelle (0,25% (1) / 0,34% (2) / 0,29% (3) de "&amp;K14&amp;" €)"</f>
        <v>Contribution à la formation professionnelle (0,25% (1) / 0,34% (2) / 0,29% (3) de 48060 €)</v>
      </c>
      <c r="C36" s="140"/>
      <c r="D36" s="140"/>
      <c r="E36" s="140"/>
      <c r="F36" s="140"/>
      <c r="G36" s="66" t="s">
        <v>17</v>
      </c>
      <c r="H36" s="62">
        <f>K14</f>
        <v>48060</v>
      </c>
      <c r="I36" s="61">
        <f>IF(D14="1/ Commerçant",0.25%,IF(D14="2/ Commerçant + conjoint collaborateur",0.34%,IF(D14="3/ Artisan",0.29%,0)))</f>
        <v>2.8999999999999998E-3</v>
      </c>
      <c r="J36" s="83">
        <f>ROUND(I36*H36,0)</f>
        <v>139</v>
      </c>
      <c r="K36" s="80">
        <v>137</v>
      </c>
      <c r="L36" s="109"/>
      <c r="M36" s="109"/>
      <c r="N36" s="109"/>
    </row>
    <row r="37" spans="1:14" ht="13.2" customHeight="1" x14ac:dyDescent="0.3">
      <c r="A37" s="109"/>
      <c r="B37" s="124" t="s">
        <v>68</v>
      </c>
      <c r="C37" s="125"/>
      <c r="D37" s="125"/>
      <c r="E37" s="125"/>
      <c r="F37" s="125"/>
      <c r="G37" s="40">
        <v>6.8000000000000005E-2</v>
      </c>
      <c r="H37" s="39">
        <f ca="1">D11+D10</f>
        <v>72371.762886597935</v>
      </c>
      <c r="I37" s="40">
        <f>G37</f>
        <v>6.8000000000000005E-2</v>
      </c>
      <c r="J37" s="84">
        <f ca="1">ROUND(I37*H37,0)</f>
        <v>4921</v>
      </c>
      <c r="K37" s="85"/>
      <c r="L37" s="120"/>
      <c r="M37" s="112"/>
      <c r="N37" s="112"/>
    </row>
    <row r="38" spans="1:14" ht="13.2" customHeight="1" x14ac:dyDescent="0.3">
      <c r="A38" s="109"/>
      <c r="B38" s="130" t="s">
        <v>69</v>
      </c>
      <c r="C38" s="131"/>
      <c r="D38" s="131"/>
      <c r="E38" s="131"/>
      <c r="F38" s="131"/>
      <c r="G38" s="43">
        <v>6.8000000000000005E-2</v>
      </c>
      <c r="H38" s="21">
        <f>(D12+D13)</f>
        <v>7309</v>
      </c>
      <c r="I38" s="43">
        <f>G38</f>
        <v>6.8000000000000005E-2</v>
      </c>
      <c r="J38" s="86">
        <f>ROUND(I38*H38,0)</f>
        <v>497</v>
      </c>
      <c r="K38" s="87"/>
      <c r="L38" s="120"/>
      <c r="M38" s="112"/>
      <c r="N38" s="112"/>
    </row>
    <row r="39" spans="1:14" ht="13.2" customHeight="1" thickBot="1" x14ac:dyDescent="0.35">
      <c r="A39" s="109"/>
      <c r="B39" s="132" t="s">
        <v>51</v>
      </c>
      <c r="C39" s="133"/>
      <c r="D39" s="133"/>
      <c r="E39" s="133"/>
      <c r="F39" s="133"/>
      <c r="G39" s="133"/>
      <c r="H39" s="133"/>
      <c r="I39" s="133"/>
      <c r="J39" s="34">
        <f ca="1">J38+J37</f>
        <v>5418</v>
      </c>
      <c r="K39" s="37">
        <v>3349</v>
      </c>
      <c r="L39" s="121"/>
      <c r="M39" s="112"/>
      <c r="N39" s="112"/>
    </row>
    <row r="40" spans="1:14" ht="13.2" customHeight="1" x14ac:dyDescent="0.3">
      <c r="A40" s="109"/>
      <c r="B40" s="124" t="s">
        <v>70</v>
      </c>
      <c r="C40" s="125"/>
      <c r="D40" s="125"/>
      <c r="E40" s="125"/>
      <c r="F40" s="125"/>
      <c r="G40" s="40">
        <v>2.9000000000000001E-2</v>
      </c>
      <c r="H40" s="39">
        <f ca="1">D11+D10</f>
        <v>72371.762886597935</v>
      </c>
      <c r="I40" s="40">
        <f>G40</f>
        <v>2.9000000000000001E-2</v>
      </c>
      <c r="J40" s="84">
        <f ca="1">ROUND(I40*H40,0)</f>
        <v>2099</v>
      </c>
      <c r="K40" s="85"/>
      <c r="L40" s="121"/>
      <c r="M40" s="112"/>
      <c r="N40" s="112"/>
    </row>
    <row r="41" spans="1:14" ht="13.2" customHeight="1" thickBot="1" x14ac:dyDescent="0.35">
      <c r="A41" s="109"/>
      <c r="B41" s="130" t="s">
        <v>71</v>
      </c>
      <c r="C41" s="131"/>
      <c r="D41" s="131"/>
      <c r="E41" s="131"/>
      <c r="F41" s="131"/>
      <c r="G41" s="64">
        <v>2.9000000000000001E-2</v>
      </c>
      <c r="H41" s="89">
        <f>H38</f>
        <v>7309</v>
      </c>
      <c r="I41" s="64">
        <f>G41</f>
        <v>2.9000000000000001E-2</v>
      </c>
      <c r="J41" s="86">
        <f>ROUND(I41*H41,0)</f>
        <v>212</v>
      </c>
      <c r="K41" s="87"/>
      <c r="L41" s="121"/>
      <c r="M41" s="112"/>
      <c r="N41" s="112"/>
    </row>
    <row r="42" spans="1:14" ht="13.2" customHeight="1" thickBot="1" x14ac:dyDescent="0.35">
      <c r="A42" s="109"/>
      <c r="B42" s="132" t="s">
        <v>60</v>
      </c>
      <c r="C42" s="133"/>
      <c r="D42" s="133"/>
      <c r="E42" s="133"/>
      <c r="F42" s="136"/>
      <c r="G42" s="31" t="s">
        <v>61</v>
      </c>
      <c r="H42" s="137" t="s">
        <v>62</v>
      </c>
      <c r="I42" s="138"/>
      <c r="J42" s="90">
        <f ca="1">J41+J40</f>
        <v>2311</v>
      </c>
      <c r="K42" s="37">
        <f>4777-K39</f>
        <v>1428</v>
      </c>
      <c r="L42" s="121"/>
      <c r="M42" s="112"/>
      <c r="N42" s="112"/>
    </row>
    <row r="43" spans="1:14" ht="13.2" customHeight="1" x14ac:dyDescent="0.3">
      <c r="A43" s="109"/>
      <c r="B43" s="134" t="s">
        <v>52</v>
      </c>
      <c r="C43" s="135"/>
      <c r="D43" s="135"/>
      <c r="E43" s="135"/>
      <c r="F43" s="135"/>
      <c r="G43" s="135"/>
      <c r="H43" s="135"/>
      <c r="I43" s="135"/>
      <c r="J43" s="88">
        <f ca="1">J37+J40</f>
        <v>7020</v>
      </c>
      <c r="K43" s="85"/>
      <c r="L43" s="121"/>
      <c r="M43" s="112"/>
      <c r="N43" s="112"/>
    </row>
    <row r="44" spans="1:14" ht="13.2" customHeight="1" thickBot="1" x14ac:dyDescent="0.35">
      <c r="A44" s="109"/>
      <c r="B44" s="126" t="s">
        <v>38</v>
      </c>
      <c r="C44" s="127"/>
      <c r="D44" s="127"/>
      <c r="E44" s="127"/>
      <c r="F44" s="127"/>
      <c r="G44" s="127"/>
      <c r="H44" s="127"/>
      <c r="I44" s="127"/>
      <c r="J44" s="36">
        <f ca="1">J39+J42</f>
        <v>7729</v>
      </c>
      <c r="K44" s="37">
        <f>K39+K42</f>
        <v>4777</v>
      </c>
      <c r="L44" s="121"/>
      <c r="M44" s="112"/>
      <c r="N44" s="112"/>
    </row>
    <row r="45" spans="1:14" ht="13.2" customHeight="1" thickBot="1" x14ac:dyDescent="0.35">
      <c r="A45" s="109"/>
      <c r="B45" s="128" t="s">
        <v>18</v>
      </c>
      <c r="C45" s="129"/>
      <c r="D45" s="129"/>
      <c r="E45" s="129"/>
      <c r="F45" s="129"/>
      <c r="G45" s="129"/>
      <c r="H45" s="129"/>
      <c r="I45" s="129"/>
      <c r="J45" s="91">
        <f ca="1">J35+J36+J44</f>
        <v>25641</v>
      </c>
      <c r="K45" s="82">
        <f>K35+K36+K44</f>
        <v>24107</v>
      </c>
      <c r="L45" s="113"/>
      <c r="M45" s="113"/>
      <c r="N45" s="113"/>
    </row>
    <row r="46" spans="1:14" ht="14.4" thickBot="1" x14ac:dyDescent="0.35">
      <c r="A46" s="109"/>
      <c r="B46" s="109" t="s">
        <v>32</v>
      </c>
      <c r="C46" s="109"/>
      <c r="D46" s="109"/>
      <c r="E46" s="109"/>
      <c r="F46" s="109"/>
      <c r="G46" s="109"/>
      <c r="H46" s="115"/>
      <c r="I46" s="109"/>
      <c r="J46" s="31" t="s">
        <v>19</v>
      </c>
      <c r="K46" s="92">
        <f ca="1">IF(H42="Rémunération",(J45-K45),(J45-J42)-(K45-K42))</f>
        <v>1534</v>
      </c>
      <c r="L46" s="109"/>
      <c r="M46" s="109"/>
      <c r="N46" s="109"/>
    </row>
    <row r="47" spans="1:14" x14ac:dyDescent="0.3">
      <c r="A47" s="109"/>
      <c r="B47" s="109"/>
      <c r="C47" s="109"/>
      <c r="D47" s="109"/>
      <c r="E47" s="109"/>
      <c r="F47" s="109"/>
      <c r="G47" s="109"/>
      <c r="H47" s="115"/>
      <c r="I47" s="109"/>
      <c r="J47" s="109"/>
      <c r="K47" s="109"/>
      <c r="L47" s="109"/>
      <c r="M47" s="109"/>
      <c r="N47" s="109"/>
    </row>
    <row r="48" spans="1:14" x14ac:dyDescent="0.3">
      <c r="A48" s="109"/>
      <c r="B48" s="116" t="s">
        <v>64</v>
      </c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15"/>
      <c r="N48" s="109"/>
    </row>
    <row r="49" spans="1:14" x14ac:dyDescent="0.3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</row>
    <row r="50" spans="1:14" x14ac:dyDescent="0.3">
      <c r="A50" s="109"/>
      <c r="B50" s="5" t="s">
        <v>20</v>
      </c>
      <c r="C50" s="5" t="s">
        <v>21</v>
      </c>
      <c r="D50" s="5" t="s">
        <v>22</v>
      </c>
      <c r="E50" s="5" t="s">
        <v>23</v>
      </c>
      <c r="F50" s="6" t="s">
        <v>24</v>
      </c>
      <c r="G50" s="5" t="s">
        <v>25</v>
      </c>
      <c r="H50" s="5" t="s">
        <v>26</v>
      </c>
      <c r="I50" s="109"/>
      <c r="J50" s="109"/>
      <c r="K50" s="109"/>
      <c r="L50" s="109"/>
      <c r="M50" s="109"/>
      <c r="N50" s="109"/>
    </row>
    <row r="51" spans="1:14" x14ac:dyDescent="0.3">
      <c r="A51" s="109"/>
      <c r="B51" s="97">
        <f t="shared" ref="B51:B62" si="2">$M$2</f>
        <v>46387</v>
      </c>
      <c r="C51" s="98" t="str">
        <f t="shared" ref="C51:C62" si="3">"PROV_"&amp;$J$2&amp;""</f>
        <v>PROV_NOM CLIENT</v>
      </c>
      <c r="D51" s="99">
        <f>NOM_CLIENT_NOUV_METH!D54</f>
        <v>6461001</v>
      </c>
      <c r="E51" s="98" t="str">
        <f t="shared" ref="E51:E62" si="4">"PROV CADRAGE DE "&amp;$J$2</f>
        <v>PROV CADRAGE DE NOM CLIENT</v>
      </c>
      <c r="F51" s="98"/>
      <c r="G51" s="98">
        <f ca="1">IF(SUM(J17:J21)*$D$5/12&gt;SUM(K17:K21),(SUM(J17:J21)*$D$5/12-SUM(K17:K21)),0)</f>
        <v>0</v>
      </c>
      <c r="H51" s="98">
        <f ca="1">IF(SUM(K17:K21)&gt;SUM(J17:J21)*$D$5/12,SUM(K17:K21)-SUM(J17:J21)*$D$5/12,0)</f>
        <v>1543</v>
      </c>
      <c r="I51" s="109" t="s">
        <v>9</v>
      </c>
      <c r="J51" s="109"/>
      <c r="K51" s="109"/>
      <c r="L51" s="109"/>
      <c r="M51" s="109"/>
      <c r="N51" s="109"/>
    </row>
    <row r="52" spans="1:14" x14ac:dyDescent="0.3">
      <c r="A52" s="109"/>
      <c r="B52" s="97">
        <f t="shared" si="2"/>
        <v>46387</v>
      </c>
      <c r="C52" s="98" t="str">
        <f t="shared" si="3"/>
        <v>PROV_NOM CLIENT</v>
      </c>
      <c r="D52" s="99">
        <f>NOM_CLIENT_NOUV_METH!D55</f>
        <v>6461002</v>
      </c>
      <c r="E52" s="98" t="str">
        <f t="shared" si="4"/>
        <v>PROV CADRAGE DE NOM CLIENT</v>
      </c>
      <c r="F52" s="98"/>
      <c r="G52" s="98">
        <f ca="1">IF(SUM(J22:J25)*$D$5/12&gt;SUM(K22:K25),(SUM(J22:J25)*$D$5/12-SUM(K22:K25)),0)</f>
        <v>0</v>
      </c>
      <c r="H52" s="98">
        <f ca="1">IF(SUM(K22:K25)&gt;SUM(J22:J25)*$D$5/12,SUM(K22:K25)-SUM(J22:J25)*$D$5/12,0)</f>
        <v>163</v>
      </c>
      <c r="I52" s="109" t="s">
        <v>10</v>
      </c>
      <c r="J52" s="109"/>
      <c r="K52" s="109"/>
      <c r="L52" s="109"/>
      <c r="M52" s="109"/>
      <c r="N52" s="109"/>
    </row>
    <row r="53" spans="1:14" x14ac:dyDescent="0.3">
      <c r="A53" s="109"/>
      <c r="B53" s="97">
        <f t="shared" si="2"/>
        <v>46387</v>
      </c>
      <c r="C53" s="98" t="str">
        <f t="shared" si="3"/>
        <v>PROV_NOM CLIENT</v>
      </c>
      <c r="D53" s="99">
        <f>NOM_CLIENT_NOUV_METH!D56</f>
        <v>6461003</v>
      </c>
      <c r="E53" s="98" t="str">
        <f t="shared" si="4"/>
        <v>PROV CADRAGE DE NOM CLIENT</v>
      </c>
      <c r="F53" s="98"/>
      <c r="G53" s="98">
        <f ca="1">IF(SUM(J26:J26)*$D$5/12&gt;SUM(K26:K26),(SUM(J26:J26)*$D$5/12-SUM(K26:K26)),0)</f>
        <v>0</v>
      </c>
      <c r="H53" s="98">
        <f ca="1">IF(SUM(K26:K26)&gt;SUM(J26:J26)*$D$5/12,SUM(K26:K26)-SUM(J26:J26)*$D$5/12,0)</f>
        <v>0</v>
      </c>
      <c r="I53" s="109" t="s">
        <v>37</v>
      </c>
      <c r="J53" s="109"/>
      <c r="K53" s="109"/>
      <c r="L53" s="109"/>
      <c r="M53" s="109"/>
      <c r="N53" s="109"/>
    </row>
    <row r="54" spans="1:14" x14ac:dyDescent="0.3">
      <c r="A54" s="109"/>
      <c r="B54" s="97">
        <f t="shared" si="2"/>
        <v>46387</v>
      </c>
      <c r="C54" s="98" t="str">
        <f t="shared" si="3"/>
        <v>PROV_NOM CLIENT</v>
      </c>
      <c r="D54" s="99">
        <f>NOM_CLIENT_NOUV_METH!D57</f>
        <v>6461004</v>
      </c>
      <c r="E54" s="98" t="str">
        <f t="shared" si="4"/>
        <v>PROV CADRAGE DE NOM CLIENT</v>
      </c>
      <c r="F54" s="98"/>
      <c r="G54" s="98">
        <f ca="1">IF(SUM(J27:J29)*$D$5/12&gt;SUM(K27:K29),(SUM(J27:J29)*$D$5/12-SUM(K27:K29)),0)</f>
        <v>203</v>
      </c>
      <c r="H54" s="98">
        <f ca="1">IF(SUM(K27:K29)&gt;SUM(J27:J29)*$D$5/12,SUM(K27:K29)-SUM(J27:J29)*$D$5/12,0)</f>
        <v>0</v>
      </c>
      <c r="I54" s="109" t="s">
        <v>11</v>
      </c>
      <c r="J54" s="109"/>
      <c r="K54" s="109"/>
      <c r="L54" s="109"/>
      <c r="M54" s="109"/>
      <c r="N54" s="109"/>
    </row>
    <row r="55" spans="1:14" x14ac:dyDescent="0.3">
      <c r="A55" s="109"/>
      <c r="B55" s="97">
        <f t="shared" si="2"/>
        <v>46387</v>
      </c>
      <c r="C55" s="98" t="str">
        <f t="shared" si="3"/>
        <v>PROV_NOM CLIENT</v>
      </c>
      <c r="D55" s="99">
        <f>NOM_CLIENT_NOUV_METH!D58</f>
        <v>6461005</v>
      </c>
      <c r="E55" s="98" t="str">
        <f t="shared" si="4"/>
        <v>PROV CADRAGE DE NOM CLIENT</v>
      </c>
      <c r="F55" s="98"/>
      <c r="G55" s="98">
        <f ca="1">IF(SUM(J34:J34)*$D$5/12&gt;SUM(K34:K34),(SUM(J34:J34)*$D$5/12-SUM(K34:K34)),0)</f>
        <v>167</v>
      </c>
      <c r="H55" s="98">
        <f ca="1">IF(SUM(K34:K34)&gt;SUM(J34:J34)*$D$5/12,SUM(K34:K34)-SUM(J34:J34)*$D$5/12,0)</f>
        <v>0</v>
      </c>
      <c r="I55" s="109" t="s">
        <v>65</v>
      </c>
      <c r="J55" s="109"/>
      <c r="K55" s="109"/>
      <c r="L55" s="109"/>
      <c r="M55" s="109"/>
      <c r="N55" s="109"/>
    </row>
    <row r="56" spans="1:14" x14ac:dyDescent="0.3">
      <c r="A56" s="109"/>
      <c r="B56" s="100">
        <f t="shared" si="2"/>
        <v>46387</v>
      </c>
      <c r="C56" s="101" t="str">
        <f t="shared" si="3"/>
        <v>PROV_NOM CLIENT</v>
      </c>
      <c r="D56" s="102">
        <f>NOM_CLIENT_NOUV_METH!D59</f>
        <v>6462001</v>
      </c>
      <c r="E56" s="101" t="str">
        <f t="shared" si="4"/>
        <v>PROV CADRAGE DE NOM CLIENT</v>
      </c>
      <c r="F56" s="101"/>
      <c r="G56" s="101">
        <f ca="1">IF(SUM(J30:J31)*$D$5/12&gt;SUM(K30:K31),(SUM(J30:J31)*$D$5/12-SUM(K30:K31)),0)</f>
        <v>2378</v>
      </c>
      <c r="H56" s="101">
        <f ca="1">IF(SUM(K30:K31)&gt;SUM(J30:J31)*$D$5/12,SUM(K30:K31)-SUM(J30:J31)*$D$5/12,0)</f>
        <v>0</v>
      </c>
      <c r="I56" s="109" t="s">
        <v>13</v>
      </c>
      <c r="J56" s="109"/>
      <c r="K56" s="109"/>
      <c r="L56" s="109"/>
      <c r="M56" s="109"/>
      <c r="N56" s="109"/>
    </row>
    <row r="57" spans="1:14" x14ac:dyDescent="0.3">
      <c r="A57" s="109"/>
      <c r="B57" s="100">
        <f t="shared" si="2"/>
        <v>46387</v>
      </c>
      <c r="C57" s="101" t="str">
        <f t="shared" si="3"/>
        <v>PROV_NOM CLIENT</v>
      </c>
      <c r="D57" s="102">
        <f>NOM_CLIENT_NOUV_METH!D60</f>
        <v>6462002</v>
      </c>
      <c r="E57" s="101" t="str">
        <f t="shared" si="4"/>
        <v>PROV CADRAGE DE NOM CLIENT</v>
      </c>
      <c r="F57" s="101"/>
      <c r="G57" s="101">
        <f ca="1">IF(SUM(J32:J33)*$D$5/12&gt;SUM(K32:K33),(SUM(J32:J33)*$D$5/12-SUM(K32:K33)),0)</f>
        <v>0</v>
      </c>
      <c r="H57" s="101">
        <f ca="1">IF(SUM(K32:K33)&gt;SUM(J32:J33)*$D$5/12,SUM(K32:K33)-SUM(J32:J33)*$D$5/12,0)</f>
        <v>2462</v>
      </c>
      <c r="I57" s="109" t="s">
        <v>14</v>
      </c>
      <c r="J57" s="109"/>
      <c r="K57" s="109"/>
      <c r="L57" s="109"/>
      <c r="M57" s="109"/>
      <c r="N57" s="109"/>
    </row>
    <row r="58" spans="1:14" x14ac:dyDescent="0.3">
      <c r="A58" s="109"/>
      <c r="B58" s="94">
        <f t="shared" si="2"/>
        <v>46387</v>
      </c>
      <c r="C58" s="7" t="str">
        <f t="shared" si="3"/>
        <v>PROV_NOM CLIENT</v>
      </c>
      <c r="D58" s="93">
        <f>NOM_CLIENT_NOUV_METH!D61</f>
        <v>6333000</v>
      </c>
      <c r="E58" s="7" t="str">
        <f t="shared" si="4"/>
        <v>PROV CADRAGE DE NOM CLIENT</v>
      </c>
      <c r="F58" s="7"/>
      <c r="G58" s="7">
        <f>IF(SUM(J36:J36)*$D$5/12&gt;SUM(K36:K36),(SUM(J36:J36)*$D$5/12-SUM(K36:K36)),0)</f>
        <v>2</v>
      </c>
      <c r="H58" s="7">
        <f>IF(SUM(K36:K36)&gt;SUM(J36:J36)*$D$5/12,SUM(K36:K36)-SUM(J36:J36)*$D$5/12,0)</f>
        <v>0</v>
      </c>
      <c r="I58" s="109" t="s">
        <v>66</v>
      </c>
      <c r="J58" s="109"/>
      <c r="K58" s="109"/>
      <c r="L58" s="109"/>
      <c r="M58" s="109"/>
      <c r="N58" s="109"/>
    </row>
    <row r="59" spans="1:14" x14ac:dyDescent="0.3">
      <c r="A59" s="109"/>
      <c r="B59" s="94">
        <f t="shared" si="2"/>
        <v>46387</v>
      </c>
      <c r="C59" s="7" t="str">
        <f t="shared" si="3"/>
        <v>PROV_NOM CLIENT</v>
      </c>
      <c r="D59" s="93">
        <f>NOM_CLIENT_NOUV_METH!D62</f>
        <v>6371000</v>
      </c>
      <c r="E59" s="7" t="str">
        <f t="shared" si="4"/>
        <v>PROV CADRAGE DE NOM CLIENT</v>
      </c>
      <c r="F59" s="7"/>
      <c r="G59" s="7">
        <f ca="1">IF(SUM(J39:J39)*$D$5/12&gt;SUM(K39:K39),(SUM(J39:J39)*$D$5/12-SUM(K39:K39)),0)</f>
        <v>2069</v>
      </c>
      <c r="H59" s="7">
        <f ca="1">IF(SUM(K39:K39)&gt;SUM(J39:J39)*$D$5/12,SUM(K39:K39)-SUM(J39:J39)*$D$5/12,0)</f>
        <v>0</v>
      </c>
      <c r="I59" s="109" t="s">
        <v>27</v>
      </c>
      <c r="J59" s="109"/>
      <c r="K59" s="109"/>
      <c r="L59" s="109"/>
      <c r="M59" s="109"/>
      <c r="N59" s="109"/>
    </row>
    <row r="60" spans="1:14" x14ac:dyDescent="0.3">
      <c r="A60" s="109"/>
      <c r="B60" s="94">
        <f t="shared" si="2"/>
        <v>46387</v>
      </c>
      <c r="C60" s="7" t="str">
        <f t="shared" si="3"/>
        <v>PROV_NOM CLIENT</v>
      </c>
      <c r="D60" s="93">
        <f>NOM_CLIENT_NOUV_METH!D63</f>
        <v>6440000</v>
      </c>
      <c r="E60" s="7" t="str">
        <f t="shared" si="4"/>
        <v>PROV CADRAGE DE NOM CLIENT</v>
      </c>
      <c r="F60" s="7"/>
      <c r="G60" s="7">
        <f ca="1">IF(SUM(J42:J42)*$D$5/12&gt;SUM(K42:K42),(SUM(J42:J42)*$D$5/12-SUM(K42:K42)),0)</f>
        <v>883</v>
      </c>
      <c r="H60" s="7">
        <f ca="1">IF(SUM(K42:K42)&gt;SUM(J42:J42)*$D$5/12,SUM(K42:K42)-SUM(J42:J42)*$D$5/12,0)</f>
        <v>0</v>
      </c>
      <c r="I60" s="109" t="s">
        <v>67</v>
      </c>
      <c r="J60" s="109"/>
      <c r="K60" s="117" t="str">
        <f ca="1">IF(AND(G60&gt;0,$H$42&lt;&gt;"Rémunération"),"A réintégrer fiscalement !",IF(AND(H60&gt;0,$H$42&lt;&gt;"Rémunération"),"A déduire fiscalement !",""))</f>
        <v/>
      </c>
      <c r="L60" s="109"/>
      <c r="M60" s="109"/>
      <c r="N60" s="109"/>
    </row>
    <row r="61" spans="1:14" ht="15" customHeight="1" x14ac:dyDescent="0.3">
      <c r="A61" s="109"/>
      <c r="B61" s="94">
        <f t="shared" si="2"/>
        <v>46387</v>
      </c>
      <c r="C61" s="7" t="str">
        <f t="shared" si="3"/>
        <v>PROV_NOM CLIENT</v>
      </c>
      <c r="D61" s="93">
        <f>NOM_CLIENT_NOUV_METH!D64</f>
        <v>4386000</v>
      </c>
      <c r="E61" s="7" t="str">
        <f t="shared" si="4"/>
        <v>PROV CADRAGE DE NOM CLIENT</v>
      </c>
      <c r="F61" s="7"/>
      <c r="G61" s="95"/>
      <c r="H61" s="7">
        <f ca="1">IF(SUM(G51:G60)&gt;SUM(H51:H60),SUM(G51:G60)-SUM(H51:H60),0)</f>
        <v>1534</v>
      </c>
      <c r="I61" s="109" t="s">
        <v>72</v>
      </c>
      <c r="J61" s="109"/>
      <c r="K61" s="109"/>
      <c r="L61" s="109"/>
      <c r="M61" s="109"/>
      <c r="N61" s="109"/>
    </row>
    <row r="62" spans="1:14" x14ac:dyDescent="0.3">
      <c r="A62" s="109"/>
      <c r="B62" s="94">
        <f t="shared" si="2"/>
        <v>46387</v>
      </c>
      <c r="C62" s="7" t="str">
        <f t="shared" si="3"/>
        <v>PROV_NOM CLIENT</v>
      </c>
      <c r="D62" s="93">
        <f>NOM_CLIENT_NOUV_METH!D65</f>
        <v>4387000</v>
      </c>
      <c r="E62" s="7" t="str">
        <f t="shared" si="4"/>
        <v>PROV CADRAGE DE NOM CLIENT</v>
      </c>
      <c r="F62" s="7"/>
      <c r="G62" s="7">
        <f ca="1">IF(SUM(H51:H60)&gt;SUM(G51:G60),SUM(H51:H60)-SUM(G51:G60),0)</f>
        <v>0</v>
      </c>
      <c r="H62" s="95"/>
      <c r="I62" s="109" t="s">
        <v>73</v>
      </c>
      <c r="J62" s="109"/>
      <c r="K62" s="109"/>
      <c r="L62" s="109"/>
      <c r="M62" s="109"/>
      <c r="N62" s="109"/>
    </row>
    <row r="63" spans="1:14" x14ac:dyDescent="0.3">
      <c r="A63" s="109"/>
      <c r="B63" s="185" t="s">
        <v>28</v>
      </c>
      <c r="C63" s="186"/>
      <c r="D63" s="186"/>
      <c r="E63" s="186"/>
      <c r="F63" s="187"/>
      <c r="G63" s="8">
        <f ca="1">SUBTOTAL(9,G51:G62)</f>
        <v>5702</v>
      </c>
      <c r="H63" s="8">
        <f ca="1">SUBTOTAL(9,H51:H62)</f>
        <v>5702</v>
      </c>
      <c r="I63" s="109" t="s">
        <v>75</v>
      </c>
      <c r="J63" s="114">
        <f ca="1">$J$45/(12/$D$5)-$K$45-H61+G62</f>
        <v>0</v>
      </c>
      <c r="K63" s="109"/>
      <c r="L63" s="115"/>
      <c r="M63" s="109"/>
      <c r="N63" s="109"/>
    </row>
    <row r="64" spans="1:14" x14ac:dyDescent="0.3">
      <c r="A64" s="109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</row>
    <row r="65" spans="1:14" x14ac:dyDescent="0.3">
      <c r="A65" s="109"/>
      <c r="B65" s="116" t="s">
        <v>77</v>
      </c>
      <c r="C65" s="109"/>
      <c r="D65" s="109"/>
      <c r="E65" s="109"/>
      <c r="F65" s="109"/>
      <c r="G65" s="109"/>
      <c r="H65" s="109"/>
      <c r="I65" s="109"/>
      <c r="J65" s="109"/>
      <c r="K65" s="109"/>
      <c r="L65" s="115"/>
      <c r="M65" s="115"/>
      <c r="N65" s="109"/>
    </row>
    <row r="66" spans="1:14" x14ac:dyDescent="0.3">
      <c r="A66" s="109"/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</row>
    <row r="67" spans="1:14" x14ac:dyDescent="0.3">
      <c r="A67" s="109"/>
      <c r="B67" s="5" t="s">
        <v>20</v>
      </c>
      <c r="C67" s="5" t="s">
        <v>21</v>
      </c>
      <c r="D67" s="5" t="s">
        <v>22</v>
      </c>
      <c r="E67" s="5" t="s">
        <v>23</v>
      </c>
      <c r="F67" s="6" t="s">
        <v>24</v>
      </c>
      <c r="G67" s="5" t="s">
        <v>25</v>
      </c>
      <c r="H67" s="5" t="s">
        <v>26</v>
      </c>
      <c r="I67" s="109"/>
      <c r="J67" s="109"/>
      <c r="K67" s="109"/>
      <c r="L67" s="109"/>
      <c r="M67" s="109"/>
      <c r="N67" s="109"/>
    </row>
    <row r="68" spans="1:14" x14ac:dyDescent="0.3">
      <c r="A68" s="109"/>
      <c r="B68" s="97">
        <f t="shared" ref="B68:B74" si="5">$M$2</f>
        <v>46387</v>
      </c>
      <c r="C68" s="98" t="str">
        <f t="shared" ref="C68:C74" si="6">"PROV_"&amp;$J$2&amp;""</f>
        <v>PROV_NOM CLIENT</v>
      </c>
      <c r="D68" s="99">
        <f>NOM_CLIENT_NOUV_METH!D71</f>
        <v>6461001</v>
      </c>
      <c r="E68" s="98" t="str">
        <f t="shared" ref="E68:E74" si="7">"PROV CADRAGE DE "&amp;$J$2</f>
        <v>PROV CADRAGE DE NOM CLIENT</v>
      </c>
      <c r="F68" s="98"/>
      <c r="G68" s="98">
        <f ca="1">SUM(G51:G55)</f>
        <v>370</v>
      </c>
      <c r="H68" s="98">
        <f ca="1">SUM(H51:H55)</f>
        <v>1706</v>
      </c>
      <c r="I68" s="109" t="s">
        <v>76</v>
      </c>
      <c r="J68" s="109"/>
      <c r="K68" s="109"/>
      <c r="L68" s="109"/>
      <c r="M68" s="109"/>
      <c r="N68" s="109"/>
    </row>
    <row r="69" spans="1:14" x14ac:dyDescent="0.3">
      <c r="A69" s="109"/>
      <c r="B69" s="100">
        <f t="shared" si="5"/>
        <v>46387</v>
      </c>
      <c r="C69" s="101" t="str">
        <f t="shared" si="6"/>
        <v>PROV_NOM CLIENT</v>
      </c>
      <c r="D69" s="102">
        <f>NOM_CLIENT_NOUV_METH!D72</f>
        <v>6462001</v>
      </c>
      <c r="E69" s="101" t="str">
        <f t="shared" si="7"/>
        <v>PROV CADRAGE DE NOM CLIENT</v>
      </c>
      <c r="F69" s="101"/>
      <c r="G69" s="101">
        <f ca="1">SUM(G56:G57)</f>
        <v>2378</v>
      </c>
      <c r="H69" s="101">
        <f ca="1">SUM(H56:H57)</f>
        <v>2462</v>
      </c>
      <c r="I69" s="109" t="s">
        <v>13</v>
      </c>
      <c r="J69" s="109"/>
      <c r="K69" s="109"/>
      <c r="L69" s="109"/>
      <c r="M69" s="109"/>
      <c r="N69" s="109"/>
    </row>
    <row r="70" spans="1:14" x14ac:dyDescent="0.3">
      <c r="A70" s="109"/>
      <c r="B70" s="94">
        <f t="shared" si="5"/>
        <v>46387</v>
      </c>
      <c r="C70" s="7" t="str">
        <f t="shared" si="6"/>
        <v>PROV_NOM CLIENT</v>
      </c>
      <c r="D70" s="93">
        <f>NOM_CLIENT_NOUV_METH!D73</f>
        <v>6333000</v>
      </c>
      <c r="E70" s="7" t="str">
        <f t="shared" si="7"/>
        <v>PROV CADRAGE DE NOM CLIENT</v>
      </c>
      <c r="F70" s="7"/>
      <c r="G70" s="7">
        <f t="shared" ref="G70:H72" si="8">G58</f>
        <v>2</v>
      </c>
      <c r="H70" s="7">
        <f t="shared" si="8"/>
        <v>0</v>
      </c>
      <c r="I70" s="109" t="s">
        <v>66</v>
      </c>
      <c r="J70" s="109"/>
      <c r="K70" s="109"/>
      <c r="L70" s="109"/>
      <c r="M70" s="109"/>
      <c r="N70" s="109"/>
    </row>
    <row r="71" spans="1:14" x14ac:dyDescent="0.3">
      <c r="A71" s="109"/>
      <c r="B71" s="94">
        <f t="shared" si="5"/>
        <v>46387</v>
      </c>
      <c r="C71" s="7" t="str">
        <f t="shared" si="6"/>
        <v>PROV_NOM CLIENT</v>
      </c>
      <c r="D71" s="93">
        <f>NOM_CLIENT_NOUV_METH!D74</f>
        <v>6371000</v>
      </c>
      <c r="E71" s="7" t="str">
        <f t="shared" si="7"/>
        <v>PROV CADRAGE DE NOM CLIENT</v>
      </c>
      <c r="F71" s="7"/>
      <c r="G71" s="7">
        <f t="shared" ca="1" si="8"/>
        <v>2069</v>
      </c>
      <c r="H71" s="7">
        <f t="shared" ca="1" si="8"/>
        <v>0</v>
      </c>
      <c r="I71" s="109" t="s">
        <v>27</v>
      </c>
      <c r="J71" s="109"/>
      <c r="K71" s="109"/>
      <c r="L71" s="109"/>
      <c r="M71" s="109"/>
      <c r="N71" s="109"/>
    </row>
    <row r="72" spans="1:14" x14ac:dyDescent="0.3">
      <c r="A72" s="109"/>
      <c r="B72" s="94">
        <f t="shared" si="5"/>
        <v>46387</v>
      </c>
      <c r="C72" s="7" t="str">
        <f t="shared" si="6"/>
        <v>PROV_NOM CLIENT</v>
      </c>
      <c r="D72" s="93">
        <f ca="1">NOM_CLIENT_NOUV_METH!D75</f>
        <v>6372000</v>
      </c>
      <c r="E72" s="7" t="str">
        <f t="shared" si="7"/>
        <v>PROV CADRAGE DE NOM CLIENT</v>
      </c>
      <c r="F72" s="7"/>
      <c r="G72" s="7">
        <f t="shared" ca="1" si="8"/>
        <v>883</v>
      </c>
      <c r="H72" s="7">
        <f t="shared" ca="1" si="8"/>
        <v>0</v>
      </c>
      <c r="I72" s="109" t="s">
        <v>67</v>
      </c>
      <c r="J72" s="109"/>
      <c r="K72" s="117" t="str">
        <f ca="1">IF(AND(G72&gt;0,$H$42&lt;&gt;"Rémunération"),"A réintégrer fiscalement !",IF(AND(H72&gt;0,$H$42&lt;&gt;"Rémunération"),"A déduire fiscalement !",""))</f>
        <v/>
      </c>
      <c r="L72" s="109"/>
      <c r="M72" s="109"/>
      <c r="N72" s="109"/>
    </row>
    <row r="73" spans="1:14" x14ac:dyDescent="0.3">
      <c r="A73" s="109"/>
      <c r="B73" s="94">
        <f t="shared" si="5"/>
        <v>46387</v>
      </c>
      <c r="C73" s="7" t="str">
        <f t="shared" si="6"/>
        <v>PROV_NOM CLIENT</v>
      </c>
      <c r="D73" s="93">
        <f>NOM_CLIENT_NOUV_METH!D76</f>
        <v>4386000</v>
      </c>
      <c r="E73" s="7" t="str">
        <f t="shared" si="7"/>
        <v>PROV CADRAGE DE NOM CLIENT</v>
      </c>
      <c r="F73" s="7"/>
      <c r="G73" s="95"/>
      <c r="H73" s="7">
        <f ca="1">H61</f>
        <v>1534</v>
      </c>
      <c r="I73" s="109" t="s">
        <v>72</v>
      </c>
      <c r="J73" s="109"/>
      <c r="K73" s="109"/>
      <c r="L73" s="109"/>
      <c r="M73" s="109"/>
      <c r="N73" s="109"/>
    </row>
    <row r="74" spans="1:14" x14ac:dyDescent="0.3">
      <c r="A74" s="109"/>
      <c r="B74" s="94">
        <f t="shared" si="5"/>
        <v>46387</v>
      </c>
      <c r="C74" s="7" t="str">
        <f t="shared" si="6"/>
        <v>PROV_NOM CLIENT</v>
      </c>
      <c r="D74" s="93">
        <f>NOM_CLIENT_NOUV_METH!D77</f>
        <v>4387000</v>
      </c>
      <c r="E74" s="7" t="str">
        <f t="shared" si="7"/>
        <v>PROV CADRAGE DE NOM CLIENT</v>
      </c>
      <c r="F74" s="7"/>
      <c r="G74" s="7">
        <f ca="1">G62</f>
        <v>0</v>
      </c>
      <c r="H74" s="95"/>
      <c r="I74" s="109" t="s">
        <v>73</v>
      </c>
      <c r="J74" s="109"/>
      <c r="K74" s="109"/>
      <c r="L74" s="109"/>
      <c r="M74" s="109"/>
      <c r="N74" s="109"/>
    </row>
    <row r="75" spans="1:14" x14ac:dyDescent="0.3">
      <c r="A75" s="109"/>
      <c r="B75" s="185" t="s">
        <v>28</v>
      </c>
      <c r="C75" s="186"/>
      <c r="D75" s="186"/>
      <c r="E75" s="186"/>
      <c r="F75" s="187"/>
      <c r="G75" s="8">
        <f ca="1">SUBTOTAL(9,G68:G74)</f>
        <v>5702</v>
      </c>
      <c r="H75" s="8">
        <f ca="1">SUBTOTAL(9,H68:H74)</f>
        <v>5702</v>
      </c>
      <c r="I75" s="109" t="s">
        <v>75</v>
      </c>
      <c r="J75" s="114">
        <f ca="1">$J$45/(12/$D$5)-$K$45-H73+G74</f>
        <v>0</v>
      </c>
      <c r="K75" s="109"/>
      <c r="L75" s="109"/>
      <c r="M75" s="109"/>
      <c r="N75" s="109"/>
    </row>
    <row r="76" spans="1:14" x14ac:dyDescent="0.3">
      <c r="A76" s="109"/>
      <c r="B76" s="109"/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14"/>
    </row>
  </sheetData>
  <sheetProtection algorithmName="SHA-512" hashValue="mqrZjbhn4wf/320bD8DTKfjsX8yw9r2SRp2hkIdwsfRNrnS8fkiWKCBEpw2WzxLyvUDI0tFX3310vtw7I7hfgw==" saltValue="n97WDTDyn1QjKlGnDdJKOQ==" spinCount="100000" sheet="1" objects="1" scenarios="1"/>
  <mergeCells count="64">
    <mergeCell ref="B43:I43"/>
    <mergeCell ref="B44:I44"/>
    <mergeCell ref="B45:I45"/>
    <mergeCell ref="B63:F63"/>
    <mergeCell ref="B75:F75"/>
    <mergeCell ref="B42:F42"/>
    <mergeCell ref="H42:I42"/>
    <mergeCell ref="B32:B33"/>
    <mergeCell ref="C32:F32"/>
    <mergeCell ref="C33:F33"/>
    <mergeCell ref="C34:F34"/>
    <mergeCell ref="B35:I35"/>
    <mergeCell ref="B36:F36"/>
    <mergeCell ref="B37:F37"/>
    <mergeCell ref="B38:F38"/>
    <mergeCell ref="B39:I39"/>
    <mergeCell ref="B40:F40"/>
    <mergeCell ref="B41:F41"/>
    <mergeCell ref="B30:B31"/>
    <mergeCell ref="C30:F30"/>
    <mergeCell ref="C31:F31"/>
    <mergeCell ref="C21:F21"/>
    <mergeCell ref="B22:B25"/>
    <mergeCell ref="C22:F22"/>
    <mergeCell ref="C23:F23"/>
    <mergeCell ref="C24:F24"/>
    <mergeCell ref="C25:F25"/>
    <mergeCell ref="C26:F26"/>
    <mergeCell ref="B27:B29"/>
    <mergeCell ref="C27:F27"/>
    <mergeCell ref="C28:F28"/>
    <mergeCell ref="C29:F29"/>
    <mergeCell ref="B14:C14"/>
    <mergeCell ref="D14:E14"/>
    <mergeCell ref="C16:F16"/>
    <mergeCell ref="B17:B21"/>
    <mergeCell ref="C17:F17"/>
    <mergeCell ref="C18:F18"/>
    <mergeCell ref="C19:F19"/>
    <mergeCell ref="C20:F20"/>
    <mergeCell ref="B11:C11"/>
    <mergeCell ref="D11:E11"/>
    <mergeCell ref="J11:J12"/>
    <mergeCell ref="K11:K12"/>
    <mergeCell ref="B12:C12"/>
    <mergeCell ref="D12:E12"/>
    <mergeCell ref="F12:H13"/>
    <mergeCell ref="B13:C13"/>
    <mergeCell ref="D13:E13"/>
    <mergeCell ref="B10:C10"/>
    <mergeCell ref="D10:E10"/>
    <mergeCell ref="B6:C6"/>
    <mergeCell ref="D6:E6"/>
    <mergeCell ref="D7:E7"/>
    <mergeCell ref="B8:C8"/>
    <mergeCell ref="D8:E8"/>
    <mergeCell ref="B9:C9"/>
    <mergeCell ref="D9:E9"/>
    <mergeCell ref="G2:H2"/>
    <mergeCell ref="J2:K2"/>
    <mergeCell ref="B4:C4"/>
    <mergeCell ref="D4:E4"/>
    <mergeCell ref="B5:C5"/>
    <mergeCell ref="D5:E5"/>
  </mergeCells>
  <dataValidations count="5">
    <dataValidation type="list" allowBlank="1" showInputMessage="1" showErrorMessage="1" sqref="C2" xr:uid="{E2FAFE9B-25E4-4FE1-B67C-825A56923089}">
      <formula1>"EI, SA, SAS, SARL,SCI"</formula1>
    </dataValidation>
    <dataValidation type="list" allowBlank="1" showInputMessage="1" showErrorMessage="1" sqref="H42:I42" xr:uid="{4CF8D208-1C66-4FE2-97C3-5A81CF566927}">
      <formula1>"Réintégration fiscale,Rémunération"</formula1>
    </dataValidation>
    <dataValidation type="list" allowBlank="1" showInputMessage="1" showErrorMessage="1" sqref="E2" xr:uid="{1D3B06CA-6AA5-40A1-950A-A76DE31CA24B}">
      <formula1>"IR,IS"</formula1>
    </dataValidation>
    <dataValidation type="list" allowBlank="1" showErrorMessage="1" sqref="D14:D15" xr:uid="{0724F963-A211-47F4-ADA5-A1AD86D7510A}">
      <formula1>"1/ Commerçant,2/ Commerçant + conjoint collaborateur,3/ Artisan"</formula1>
    </dataValidation>
    <dataValidation type="custom" allowBlank="1" showInputMessage="1" showErrorMessage="1" sqref="D5:E6" xr:uid="{F0EF93DE-4C66-426B-8328-C12F63C47CA5}">
      <formula1>"_"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NOM_CLIENT_NOUV_METH</vt:lpstr>
      <vt:lpstr>NOM CLIENT_ANC_METH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Kévin BASLER</dc:creator>
  <cp:lastModifiedBy>Kévin BASLER</cp:lastModifiedBy>
  <dcterms:created xsi:type="dcterms:W3CDTF">2022-05-22T09:15:13Z</dcterms:created>
  <dcterms:modified xsi:type="dcterms:W3CDTF">2026-06-01T19:50:35Z</dcterms:modified>
</cp:coreProperties>
</file>